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2.xml" ContentType="application/vnd.ms-excel.threadedcomments+xml"/>
  <Override PartName="/xl/comments4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Users\kimlyons\Documents\CHNYC\"/>
    </mc:Choice>
  </mc:AlternateContent>
  <xr:revisionPtr revIDLastSave="0" documentId="8_{60DC5D89-1B0F-4DDF-954C-7B73B648332E}" xr6:coauthVersionLast="47" xr6:coauthVersionMax="47" xr10:uidLastSave="{00000000-0000-0000-0000-000000000000}"/>
  <bookViews>
    <workbookView xWindow="-120" yWindow="-120" windowWidth="20730" windowHeight="11160" tabRatio="891" xr2:uid="{00000000-000D-0000-FFFF-FFFF00000000}"/>
  </bookViews>
  <sheets>
    <sheet name="Budget" sheetId="1" r:id="rId1"/>
    <sheet name="Cruising" sheetId="4" r:id="rId2"/>
    <sheet name="Facilities" sheetId="5" r:id="rId3"/>
    <sheet name="Admin" sheetId="3" r:id="rId4"/>
    <sheet name="Race Comm" sheetId="7" r:id="rId5"/>
    <sheet name="Training" sheetId="9" r:id="rId6"/>
    <sheet name="Power" sheetId="6" r:id="rId7"/>
    <sheet name="Rhodes" sheetId="8" r:id="rId8"/>
    <sheet name="Shields" sheetId="10" r:id="rId9"/>
    <sheet name="Social" sheetId="11" r:id="rId10"/>
    <sheet name="Store" sheetId="12" r:id="rId11"/>
    <sheet name="WorkingBudget" sheetId="2" r:id="rId12"/>
  </sheets>
  <definedNames>
    <definedName name="CHNYC_Quicken_Categories" localSheetId="0">Budget!$A$2:$D$95</definedName>
    <definedName name="CHNYC_Quicken_Categories" localSheetId="11">WorkingBudget!$A$2:$A$52</definedName>
    <definedName name="Excel_BuiltIn_Print_Area" localSheetId="0">Budget!$A$1:$AL$95</definedName>
    <definedName name="_xlnm.Print_Area" localSheetId="3">Admin!$A$1:$V$27</definedName>
    <definedName name="_xlnm.Print_Area" localSheetId="0">Budget!$A$1:$O$85</definedName>
    <definedName name="_xlnm.Print_Area" localSheetId="1">Cruising!$A$1:$M$10</definedName>
    <definedName name="_xlnm.Print_Area" localSheetId="2">Facilities!$A$1:$L$10</definedName>
    <definedName name="_xlnm.Print_Area" localSheetId="6">Power!$A$1:$L$12</definedName>
    <definedName name="_xlnm.Print_Area" localSheetId="4">'Race Comm'!$A$1:$L$18</definedName>
    <definedName name="_xlnm.Print_Area" localSheetId="7">Rhodes!$A$1:$L$10</definedName>
    <definedName name="_xlnm.Print_Area" localSheetId="8">Shields!$A$1:$L$16</definedName>
    <definedName name="_xlnm.Print_Area" localSheetId="9">Social!$A$1:$L$17</definedName>
    <definedName name="_xlnm.Print_Area" localSheetId="10">Store!$A$1:$L$15</definedName>
    <definedName name="_xlnm.Print_Area" localSheetId="5">Training!$A$1:$M$11</definedName>
    <definedName name="_xlnm.Print_Area" localSheetId="11">WorkingBudget!$A$1:$M$52</definedName>
    <definedName name="Z_2689D123_C182_4EB2_AD12_2EBB4C48D466_.wvu.Cols" localSheetId="3" hidden="1">Admin!$B:$B,Admin!$D:$D</definedName>
    <definedName name="Z_2689D123_C182_4EB2_AD12_2EBB4C48D466_.wvu.Cols" localSheetId="0" hidden="1">Budget!$E:$E,Budget!$X:$Y,Budget!$AB:$AC,Budget!$AF:$AG</definedName>
    <definedName name="Z_2689D123_C182_4EB2_AD12_2EBB4C48D466_.wvu.Cols" localSheetId="1" hidden="1">Cruising!$B:$B</definedName>
    <definedName name="Z_2689D123_C182_4EB2_AD12_2EBB4C48D466_.wvu.PrintArea" localSheetId="0" hidden="1">Budget!$A$1:$AL$97</definedName>
    <definedName name="Z_2689D123_C182_4EB2_AD12_2EBB4C48D466_.wvu.PrintArea" localSheetId="8" hidden="1">Shields!$A$1:$T$17</definedName>
    <definedName name="Z_2689D123_C182_4EB2_AD12_2EBB4C48D466_.wvu.PrintArea" localSheetId="11" hidden="1">WorkingBudget!$A$1:$M$52</definedName>
    <definedName name="Z_66341D55_D973_4BB5_9B70_DB158BEA4662_.wvu.Cols" localSheetId="3" hidden="1">Admin!$B:$B,Admin!$D:$D</definedName>
    <definedName name="Z_66341D55_D973_4BB5_9B70_DB158BEA4662_.wvu.Cols" localSheetId="0" hidden="1">Budget!$E:$E,Budget!$X:$Y,Budget!$AB:$AC,Budget!$AF:$AG</definedName>
    <definedName name="Z_66341D55_D973_4BB5_9B70_DB158BEA4662_.wvu.Cols" localSheetId="1" hidden="1">Cruising!$B:$B</definedName>
    <definedName name="Z_66341D55_D973_4BB5_9B70_DB158BEA4662_.wvu.Cols" localSheetId="8" hidden="1">Shields!$B:$C</definedName>
    <definedName name="Z_66341D55_D973_4BB5_9B70_DB158BEA4662_.wvu.Cols" localSheetId="9" hidden="1">Social!$B:$B,Social!$L:$L</definedName>
    <definedName name="Z_66341D55_D973_4BB5_9B70_DB158BEA4662_.wvu.PrintArea" localSheetId="0" hidden="1">Budget!$A$1:$AL$97</definedName>
    <definedName name="Z_66341D55_D973_4BB5_9B70_DB158BEA4662_.wvu.PrintArea" localSheetId="8" hidden="1">Shields!$A$1:$T$17</definedName>
    <definedName name="Z_66341D55_D973_4BB5_9B70_DB158BEA4662_.wvu.PrintArea" localSheetId="11" hidden="1">WorkingBudget!$A$1:$M$52</definedName>
    <definedName name="Z_66341D55_D973_4BB5_9B70_DB158BEA4662_.wvu.Rows" localSheetId="3" hidden="1">Admin!$32:$33,Admin!$35:$40,Admin!$42:$47,Admin!$49:$52</definedName>
    <definedName name="Z_66341D55_D973_4BB5_9B70_DB158BEA4662_.wvu.Rows" localSheetId="8" hidden="1">Shields!$43:$45,Shields!$47:$50</definedName>
    <definedName name="Z_66341D55_D973_4BB5_9B70_DB158BEA4662_.wvu.Rows" localSheetId="9" hidden="1">Social!$22:$22</definedName>
    <definedName name="Z_66341D55_D973_4BB5_9B70_DB158BEA4662_.wvu.Rows" localSheetId="11" hidden="1">WorkingBudget!$9:$10,WorkingBudget!$19:$20,WorkingBudget!$25:$25,WorkingBudget!$29:$30,WorkingBudget!$34:$35,WorkingBudget!$39:$40,WorkingBudget!$44:$45,WorkingBudget!$49:$50</definedName>
  </definedNames>
  <calcPr calcId="191029"/>
  <customWorkbookViews>
    <customWorkbookView name="Original" guid="{2689D123-C182-4EB2-AD12-2EBB4C48D466}" maximized="1" windowWidth="1916" windowHeight="854" tabRatio="632" activeSheetId="3"/>
    <customWorkbookView name="2015-Projection" guid="{66341D55-D973-4BB5-9B70-DB158BEA4662}" maximized="1" windowWidth="1916" windowHeight="854" tabRatio="63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8" l="1"/>
  <c r="G74" i="1" s="1"/>
  <c r="G11" i="3"/>
  <c r="G5" i="3"/>
  <c r="F23" i="3"/>
  <c r="F22" i="3"/>
  <c r="U23" i="3"/>
  <c r="U22" i="3"/>
  <c r="U24" i="3" s="1"/>
  <c r="G4" i="3"/>
  <c r="G83" i="1"/>
  <c r="G82" i="1"/>
  <c r="G81" i="1"/>
  <c r="G79" i="1"/>
  <c r="G77" i="1"/>
  <c r="G76" i="1"/>
  <c r="G75" i="1"/>
  <c r="G72" i="1"/>
  <c r="G71" i="1"/>
  <c r="G69" i="1"/>
  <c r="G68" i="1"/>
  <c r="G67" i="1"/>
  <c r="G65" i="1"/>
  <c r="G64" i="1"/>
  <c r="G62" i="1"/>
  <c r="G61" i="1"/>
  <c r="G60" i="1"/>
  <c r="G58" i="1"/>
  <c r="G57" i="1"/>
  <c r="G55" i="1"/>
  <c r="G54" i="1"/>
  <c r="G51" i="1"/>
  <c r="G50" i="1"/>
  <c r="G49" i="1"/>
  <c r="G47" i="1"/>
  <c r="G46" i="1"/>
  <c r="G44" i="1"/>
  <c r="G43" i="1"/>
  <c r="G42" i="1"/>
  <c r="G41" i="1"/>
  <c r="G40" i="1"/>
  <c r="G39" i="1"/>
  <c r="G38" i="1"/>
  <c r="G37" i="1"/>
  <c r="G35" i="1"/>
  <c r="G34" i="1"/>
  <c r="G32" i="1"/>
  <c r="G31" i="1"/>
  <c r="G30" i="1"/>
  <c r="G28" i="1"/>
  <c r="H82" i="1"/>
  <c r="H81" i="1"/>
  <c r="H79" i="1"/>
  <c r="H77" i="1"/>
  <c r="H76" i="1"/>
  <c r="H75" i="1"/>
  <c r="H74" i="1"/>
  <c r="H72" i="1"/>
  <c r="H71" i="1"/>
  <c r="H69" i="1"/>
  <c r="H68" i="1"/>
  <c r="H67" i="1"/>
  <c r="H65" i="1"/>
  <c r="H64" i="1"/>
  <c r="H62" i="1"/>
  <c r="H61" i="1"/>
  <c r="H60" i="1"/>
  <c r="H58" i="1"/>
  <c r="H57" i="1"/>
  <c r="H55" i="1"/>
  <c r="H54" i="1"/>
  <c r="H51" i="1"/>
  <c r="H50" i="1"/>
  <c r="H47" i="1"/>
  <c r="H46" i="1"/>
  <c r="H44" i="1"/>
  <c r="H43" i="1"/>
  <c r="H42" i="1"/>
  <c r="H41" i="1"/>
  <c r="H40" i="1"/>
  <c r="H39" i="1"/>
  <c r="H38" i="1"/>
  <c r="H37" i="1"/>
  <c r="H35" i="1"/>
  <c r="H34" i="1"/>
  <c r="H32" i="1"/>
  <c r="H31" i="1"/>
  <c r="H30" i="1"/>
  <c r="H28" i="1"/>
  <c r="G26" i="1"/>
  <c r="G25" i="1"/>
  <c r="G24" i="1"/>
  <c r="G22" i="1"/>
  <c r="G21" i="1"/>
  <c r="G19" i="1"/>
  <c r="G18" i="1"/>
  <c r="G16" i="1"/>
  <c r="G15" i="1"/>
  <c r="G14" i="1"/>
  <c r="H26" i="1"/>
  <c r="H25" i="1"/>
  <c r="H24" i="1"/>
  <c r="H22" i="1"/>
  <c r="H21" i="1"/>
  <c r="H19" i="1"/>
  <c r="H18" i="1"/>
  <c r="H16" i="1"/>
  <c r="H15" i="1"/>
  <c r="H14" i="1"/>
  <c r="H12" i="1"/>
  <c r="H11" i="1"/>
  <c r="H10" i="1"/>
  <c r="H9" i="1"/>
  <c r="H8" i="1"/>
  <c r="H7" i="1"/>
  <c r="H6" i="1"/>
  <c r="H5" i="1"/>
  <c r="G12" i="1"/>
  <c r="G11" i="1"/>
  <c r="G10" i="1"/>
  <c r="G9" i="1"/>
  <c r="G8" i="1"/>
  <c r="G7" i="1"/>
  <c r="G6" i="1"/>
  <c r="G5" i="1"/>
  <c r="G4" i="1"/>
  <c r="H4" i="1"/>
  <c r="F24" i="12"/>
  <c r="F28" i="12" s="1"/>
  <c r="F20" i="12"/>
  <c r="F27" i="12" s="1"/>
  <c r="F17" i="12"/>
  <c r="F12" i="12"/>
  <c r="F13" i="12"/>
  <c r="G24" i="12"/>
  <c r="G28" i="12"/>
  <c r="G20" i="12"/>
  <c r="G27" i="12" s="1"/>
  <c r="G17" i="12"/>
  <c r="G10" i="12"/>
  <c r="H83" i="1" s="1"/>
  <c r="H84" i="1" s="1"/>
  <c r="G4" i="12"/>
  <c r="H49" i="1" s="1"/>
  <c r="F21" i="11"/>
  <c r="F14" i="11"/>
  <c r="F13" i="11" s="1"/>
  <c r="F15" i="11"/>
  <c r="G21" i="11"/>
  <c r="G14" i="11"/>
  <c r="G15" i="11"/>
  <c r="F54" i="10"/>
  <c r="F53" i="10"/>
  <c r="F42" i="10"/>
  <c r="F15" i="10"/>
  <c r="F14" i="10"/>
  <c r="G54" i="10"/>
  <c r="G53" i="10"/>
  <c r="G42" i="10"/>
  <c r="G15" i="10"/>
  <c r="G14" i="10"/>
  <c r="F14" i="9"/>
  <c r="F9" i="9"/>
  <c r="F7" i="9" s="1"/>
  <c r="F8" i="9"/>
  <c r="G14" i="9"/>
  <c r="G9" i="9"/>
  <c r="G7" i="9" s="1"/>
  <c r="G8" i="9"/>
  <c r="F20" i="8"/>
  <c r="F19" i="8"/>
  <c r="F13" i="8"/>
  <c r="F8" i="8"/>
  <c r="G20" i="8"/>
  <c r="G19" i="8"/>
  <c r="G13" i="8"/>
  <c r="G8" i="8"/>
  <c r="G6" i="8" s="1"/>
  <c r="G7" i="8"/>
  <c r="F46" i="7"/>
  <c r="F34" i="7"/>
  <c r="F27" i="7"/>
  <c r="F25" i="7"/>
  <c r="F24" i="7"/>
  <c r="F38" i="7" s="1"/>
  <c r="F45" i="7" s="1"/>
  <c r="F23" i="7"/>
  <c r="F22" i="7"/>
  <c r="F21" i="7"/>
  <c r="F20" i="7"/>
  <c r="F16" i="7"/>
  <c r="F15" i="7"/>
  <c r="G46" i="7"/>
  <c r="G34" i="7"/>
  <c r="G27" i="7"/>
  <c r="G25" i="7"/>
  <c r="G24" i="7"/>
  <c r="G38" i="7" s="1"/>
  <c r="G45" i="7" s="1"/>
  <c r="G23" i="7"/>
  <c r="G22" i="7"/>
  <c r="G21" i="7"/>
  <c r="G20" i="7"/>
  <c r="G28" i="7"/>
  <c r="G16" i="7"/>
  <c r="G14" i="7" s="1"/>
  <c r="G15" i="7"/>
  <c r="F17" i="6"/>
  <c r="F10" i="6"/>
  <c r="F8" i="6" s="1"/>
  <c r="F9" i="6"/>
  <c r="G17" i="6"/>
  <c r="G10" i="6"/>
  <c r="G8" i="6" s="1"/>
  <c r="G9" i="6"/>
  <c r="F21" i="5"/>
  <c r="F20" i="5"/>
  <c r="F15" i="5"/>
  <c r="F8" i="5"/>
  <c r="F6" i="5" s="1"/>
  <c r="F7" i="5"/>
  <c r="G21" i="5"/>
  <c r="G20" i="5"/>
  <c r="G15" i="5"/>
  <c r="G8" i="5"/>
  <c r="G7" i="5"/>
  <c r="G6" i="5" s="1"/>
  <c r="F14" i="4"/>
  <c r="F9" i="4"/>
  <c r="F7" i="4" s="1"/>
  <c r="F8" i="4"/>
  <c r="G14" i="4"/>
  <c r="G9" i="4"/>
  <c r="G7" i="4" s="1"/>
  <c r="G8" i="4"/>
  <c r="F27" i="3"/>
  <c r="F26" i="3"/>
  <c r="G27" i="3"/>
  <c r="G26" i="3"/>
  <c r="I3" i="11"/>
  <c r="I15" i="11" s="1"/>
  <c r="H15" i="11"/>
  <c r="I82" i="1"/>
  <c r="I81" i="1"/>
  <c r="I79" i="1"/>
  <c r="I77" i="1"/>
  <c r="I76" i="1"/>
  <c r="I75" i="1"/>
  <c r="I74" i="1"/>
  <c r="I72" i="1"/>
  <c r="I71" i="1"/>
  <c r="I69" i="1"/>
  <c r="I68" i="1"/>
  <c r="I67" i="1"/>
  <c r="I65" i="1"/>
  <c r="I64" i="1"/>
  <c r="I62" i="1"/>
  <c r="I61" i="1"/>
  <c r="I60" i="1"/>
  <c r="I58" i="1"/>
  <c r="I57" i="1"/>
  <c r="I55" i="1"/>
  <c r="I54" i="1"/>
  <c r="I51" i="1"/>
  <c r="I50" i="1"/>
  <c r="I47" i="1"/>
  <c r="I46" i="1"/>
  <c r="I44" i="1"/>
  <c r="I43" i="1"/>
  <c r="I40" i="1"/>
  <c r="J39" i="1"/>
  <c r="I39" i="1"/>
  <c r="I38" i="1"/>
  <c r="I42" i="1"/>
  <c r="I41" i="1"/>
  <c r="I37" i="1"/>
  <c r="I35" i="1"/>
  <c r="I34" i="1"/>
  <c r="I32" i="1"/>
  <c r="I31" i="1"/>
  <c r="I30" i="1"/>
  <c r="I28" i="1"/>
  <c r="I26" i="1"/>
  <c r="I25" i="1"/>
  <c r="I22" i="1"/>
  <c r="I21" i="1"/>
  <c r="I19" i="1"/>
  <c r="I18" i="1"/>
  <c r="I16" i="1"/>
  <c r="I15" i="1"/>
  <c r="I14" i="1"/>
  <c r="I12" i="1"/>
  <c r="I11" i="1"/>
  <c r="I10" i="1"/>
  <c r="I9" i="1"/>
  <c r="I8" i="1"/>
  <c r="I7" i="1"/>
  <c r="I6" i="1"/>
  <c r="I5" i="1"/>
  <c r="J19" i="1"/>
  <c r="J18" i="1"/>
  <c r="I4" i="1"/>
  <c r="H24" i="12"/>
  <c r="H28" i="12" s="1"/>
  <c r="H20" i="12"/>
  <c r="H27" i="12" s="1"/>
  <c r="H17" i="12"/>
  <c r="H10" i="12"/>
  <c r="I83" i="1"/>
  <c r="H4" i="12"/>
  <c r="I49" i="1" s="1"/>
  <c r="H21" i="11"/>
  <c r="H14" i="11"/>
  <c r="H54" i="10"/>
  <c r="H53" i="10"/>
  <c r="H42" i="10"/>
  <c r="H15" i="10"/>
  <c r="H14" i="10"/>
  <c r="H14" i="9"/>
  <c r="H9" i="9"/>
  <c r="H8" i="9"/>
  <c r="H20" i="8"/>
  <c r="H19" i="8"/>
  <c r="H13" i="8"/>
  <c r="H8" i="8"/>
  <c r="H6" i="8" s="1"/>
  <c r="H7" i="8"/>
  <c r="H46" i="7"/>
  <c r="H34" i="7"/>
  <c r="H27" i="7"/>
  <c r="H25" i="7"/>
  <c r="H24" i="7"/>
  <c r="H38" i="7" s="1"/>
  <c r="H45" i="7" s="1"/>
  <c r="H23" i="7"/>
  <c r="H22" i="7"/>
  <c r="H21" i="7"/>
  <c r="H20" i="7"/>
  <c r="H16" i="7"/>
  <c r="H15" i="7"/>
  <c r="H17" i="6"/>
  <c r="H10" i="6"/>
  <c r="H9" i="6"/>
  <c r="H8" i="6" s="1"/>
  <c r="H21" i="5"/>
  <c r="H20" i="5"/>
  <c r="H15" i="5"/>
  <c r="H8" i="5"/>
  <c r="H7" i="5"/>
  <c r="H14" i="4"/>
  <c r="H9" i="4"/>
  <c r="H8" i="4"/>
  <c r="H27" i="3"/>
  <c r="H26" i="3"/>
  <c r="V25" i="3"/>
  <c r="V23" i="3"/>
  <c r="V22" i="3"/>
  <c r="C57" i="2"/>
  <c r="B57" i="2"/>
  <c r="C56" i="2"/>
  <c r="B56" i="2"/>
  <c r="C55" i="2"/>
  <c r="B55" i="2"/>
  <c r="J82" i="1"/>
  <c r="J79" i="1"/>
  <c r="J77" i="1"/>
  <c r="J76" i="1"/>
  <c r="J75" i="1"/>
  <c r="J74" i="1"/>
  <c r="J72" i="1"/>
  <c r="J71" i="1"/>
  <c r="J69" i="1"/>
  <c r="J68" i="1"/>
  <c r="J67" i="1"/>
  <c r="J65" i="1"/>
  <c r="J64" i="1"/>
  <c r="J62" i="1"/>
  <c r="J61" i="1"/>
  <c r="J60" i="1"/>
  <c r="J58" i="1"/>
  <c r="J57" i="1"/>
  <c r="J84" i="1" s="1"/>
  <c r="J55" i="1"/>
  <c r="J54" i="1"/>
  <c r="J50" i="1"/>
  <c r="J47" i="1"/>
  <c r="J46" i="1"/>
  <c r="J44" i="1"/>
  <c r="J43" i="1"/>
  <c r="J42" i="1"/>
  <c r="J41" i="1"/>
  <c r="J40" i="1"/>
  <c r="K39" i="1"/>
  <c r="J38" i="1"/>
  <c r="J37" i="1"/>
  <c r="J35" i="1"/>
  <c r="J34" i="1"/>
  <c r="J32" i="1"/>
  <c r="J31" i="1"/>
  <c r="J30" i="1"/>
  <c r="J28" i="1"/>
  <c r="J26" i="1"/>
  <c r="J25" i="1"/>
  <c r="J24" i="1"/>
  <c r="J22" i="1"/>
  <c r="J21" i="1"/>
  <c r="J16" i="1"/>
  <c r="J15" i="1"/>
  <c r="J14" i="1"/>
  <c r="J12" i="1"/>
  <c r="J11" i="1"/>
  <c r="J10" i="1"/>
  <c r="J9" i="1"/>
  <c r="J8" i="1"/>
  <c r="J7" i="1"/>
  <c r="J6" i="1"/>
  <c r="J5" i="1"/>
  <c r="J4" i="1"/>
  <c r="J52" i="1" s="1"/>
  <c r="I24" i="12"/>
  <c r="I28" i="12"/>
  <c r="I20" i="12"/>
  <c r="I27" i="12"/>
  <c r="I29" i="12" s="1"/>
  <c r="I17" i="12"/>
  <c r="I10" i="12"/>
  <c r="J83" i="1" s="1"/>
  <c r="I8" i="12"/>
  <c r="J81" i="1" s="1"/>
  <c r="J51" i="1"/>
  <c r="I4" i="12"/>
  <c r="J49" i="1"/>
  <c r="I3" i="12"/>
  <c r="I21" i="11"/>
  <c r="I14" i="11"/>
  <c r="I54" i="10"/>
  <c r="I53" i="10"/>
  <c r="I42" i="10"/>
  <c r="I15" i="10"/>
  <c r="I14" i="10"/>
  <c r="I14" i="9"/>
  <c r="I9" i="9"/>
  <c r="I7" i="9" s="1"/>
  <c r="I8" i="9"/>
  <c r="I20" i="8"/>
  <c r="I19" i="8"/>
  <c r="I13" i="8"/>
  <c r="I8" i="8"/>
  <c r="I7" i="8"/>
  <c r="I46" i="7"/>
  <c r="I34" i="7"/>
  <c r="I27" i="7"/>
  <c r="I25" i="7"/>
  <c r="I24" i="7"/>
  <c r="I38" i="7"/>
  <c r="I45" i="7" s="1"/>
  <c r="I23" i="7"/>
  <c r="I22" i="7"/>
  <c r="I21" i="7"/>
  <c r="I28" i="7" s="1"/>
  <c r="I20" i="7"/>
  <c r="I16" i="7"/>
  <c r="I15" i="7"/>
  <c r="I17" i="6"/>
  <c r="I10" i="6"/>
  <c r="I9" i="6"/>
  <c r="I21" i="5"/>
  <c r="I20" i="5"/>
  <c r="I15" i="5"/>
  <c r="I8" i="5"/>
  <c r="I7" i="5"/>
  <c r="I14" i="4"/>
  <c r="I9" i="4"/>
  <c r="I8" i="4"/>
  <c r="I27" i="3"/>
  <c r="I26" i="3"/>
  <c r="I25" i="3" s="1"/>
  <c r="B3" i="2"/>
  <c r="J27" i="7"/>
  <c r="J25" i="7"/>
  <c r="J23" i="7"/>
  <c r="J22" i="7"/>
  <c r="J21" i="7"/>
  <c r="J20" i="7"/>
  <c r="J28" i="7" s="1"/>
  <c r="K82" i="1"/>
  <c r="K79" i="1"/>
  <c r="K77" i="1"/>
  <c r="K76" i="1"/>
  <c r="K75" i="1"/>
  <c r="K72" i="1"/>
  <c r="K71" i="1"/>
  <c r="K69" i="1"/>
  <c r="K68" i="1"/>
  <c r="K67" i="1"/>
  <c r="K65" i="1"/>
  <c r="K64" i="1"/>
  <c r="K62" i="1"/>
  <c r="K61" i="1"/>
  <c r="K60" i="1"/>
  <c r="K58" i="1"/>
  <c r="K57" i="1"/>
  <c r="K55" i="1"/>
  <c r="K54" i="1"/>
  <c r="K50" i="1"/>
  <c r="K47" i="1"/>
  <c r="K46" i="1"/>
  <c r="K44" i="1"/>
  <c r="K43" i="1"/>
  <c r="K42" i="1"/>
  <c r="K41" i="1"/>
  <c r="K38" i="1"/>
  <c r="K37" i="1"/>
  <c r="K35" i="1"/>
  <c r="K34" i="1"/>
  <c r="K32" i="1"/>
  <c r="K31" i="1"/>
  <c r="K30" i="1"/>
  <c r="K28" i="1"/>
  <c r="K25" i="1"/>
  <c r="K26" i="1"/>
  <c r="K24" i="1"/>
  <c r="K22" i="1"/>
  <c r="K21" i="1"/>
  <c r="K19" i="1"/>
  <c r="K18" i="1"/>
  <c r="K16" i="1"/>
  <c r="K15" i="1"/>
  <c r="K14" i="1"/>
  <c r="L29" i="12"/>
  <c r="K12" i="1"/>
  <c r="K11" i="1"/>
  <c r="K10" i="1"/>
  <c r="K9" i="1"/>
  <c r="K8" i="1"/>
  <c r="K7" i="1"/>
  <c r="K6" i="1"/>
  <c r="K5" i="1"/>
  <c r="K4" i="1"/>
  <c r="J24" i="7"/>
  <c r="J38" i="7"/>
  <c r="J45" i="7" s="1"/>
  <c r="J21" i="5"/>
  <c r="J20" i="5"/>
  <c r="K21" i="5"/>
  <c r="K20" i="5"/>
  <c r="K20" i="8"/>
  <c r="K19" i="8"/>
  <c r="J20" i="8"/>
  <c r="J19" i="8"/>
  <c r="K54" i="10"/>
  <c r="J54" i="10"/>
  <c r="K47" i="10"/>
  <c r="K45" i="10"/>
  <c r="K44" i="10"/>
  <c r="J47" i="10"/>
  <c r="J45" i="10"/>
  <c r="J53" i="10" s="1"/>
  <c r="J44" i="10"/>
  <c r="K45" i="7"/>
  <c r="K46" i="7"/>
  <c r="J46" i="7"/>
  <c r="M21" i="9"/>
  <c r="M22" i="9"/>
  <c r="M20" i="9"/>
  <c r="M6" i="9"/>
  <c r="M8" i="9" s="1"/>
  <c r="M5" i="9"/>
  <c r="M4" i="9"/>
  <c r="M3" i="9"/>
  <c r="J24" i="12"/>
  <c r="J28" i="12" s="1"/>
  <c r="J20" i="12"/>
  <c r="J27" i="12" s="1"/>
  <c r="J29" i="12" s="1"/>
  <c r="J17" i="12"/>
  <c r="J10" i="12"/>
  <c r="K83" i="1"/>
  <c r="J8" i="12"/>
  <c r="K81" i="1"/>
  <c r="J7" i="12"/>
  <c r="J6" i="12"/>
  <c r="K51" i="1" s="1"/>
  <c r="J4" i="12"/>
  <c r="J3" i="12"/>
  <c r="J24" i="11"/>
  <c r="J21" i="11"/>
  <c r="J15" i="11"/>
  <c r="J14" i="11"/>
  <c r="J13" i="11" s="1"/>
  <c r="J42" i="10"/>
  <c r="J15" i="10"/>
  <c r="J14" i="10"/>
  <c r="J14" i="9"/>
  <c r="J9" i="9"/>
  <c r="J6" i="9"/>
  <c r="J8" i="9" s="1"/>
  <c r="J13" i="8"/>
  <c r="J7" i="8"/>
  <c r="K74" i="1"/>
  <c r="K40" i="1"/>
  <c r="J8" i="8"/>
  <c r="J6" i="8" s="1"/>
  <c r="C27" i="2" s="1"/>
  <c r="C30" i="2" s="1"/>
  <c r="J34" i="7"/>
  <c r="J15" i="7"/>
  <c r="J17" i="6"/>
  <c r="J10" i="6"/>
  <c r="J9" i="6"/>
  <c r="J15" i="5"/>
  <c r="J8" i="5"/>
  <c r="J6" i="5" s="1"/>
  <c r="C12" i="2" s="1"/>
  <c r="J7" i="5"/>
  <c r="J14" i="4"/>
  <c r="J9" i="4"/>
  <c r="J8" i="4"/>
  <c r="J27" i="3"/>
  <c r="J26" i="3"/>
  <c r="K15" i="10"/>
  <c r="L3" i="10"/>
  <c r="O44" i="1"/>
  <c r="M44" i="1"/>
  <c r="L8" i="10"/>
  <c r="O64" i="1" s="1"/>
  <c r="O84" i="1" s="1"/>
  <c r="N31" i="1"/>
  <c r="M75" i="1"/>
  <c r="L10" i="10"/>
  <c r="O75" i="1"/>
  <c r="K24" i="12"/>
  <c r="K28" i="12"/>
  <c r="K20" i="12"/>
  <c r="K27" i="12"/>
  <c r="K29" i="12" s="1"/>
  <c r="N50" i="1"/>
  <c r="N26" i="1"/>
  <c r="O26" i="1"/>
  <c r="N25" i="1"/>
  <c r="N24" i="1"/>
  <c r="L25" i="1"/>
  <c r="L24" i="1"/>
  <c r="L28" i="1"/>
  <c r="L26" i="1"/>
  <c r="L19" i="1"/>
  <c r="L18" i="1"/>
  <c r="M26" i="1"/>
  <c r="M82" i="1"/>
  <c r="M79" i="1"/>
  <c r="M77" i="1"/>
  <c r="M76" i="1"/>
  <c r="M72" i="1"/>
  <c r="M71" i="1"/>
  <c r="M69" i="1"/>
  <c r="M68" i="1"/>
  <c r="M67" i="1"/>
  <c r="M65" i="1"/>
  <c r="M62" i="1"/>
  <c r="M61" i="1"/>
  <c r="M60" i="1"/>
  <c r="M58" i="1"/>
  <c r="M57" i="1"/>
  <c r="M55" i="1"/>
  <c r="M84" i="1" s="1"/>
  <c r="M54" i="1"/>
  <c r="M50" i="1"/>
  <c r="M47" i="1"/>
  <c r="M46" i="1"/>
  <c r="M42" i="1"/>
  <c r="M41" i="1"/>
  <c r="M37" i="1"/>
  <c r="M35" i="1"/>
  <c r="M34" i="1"/>
  <c r="M32" i="1"/>
  <c r="M31" i="1"/>
  <c r="M30" i="1"/>
  <c r="M28" i="1"/>
  <c r="M25" i="1"/>
  <c r="M24" i="1"/>
  <c r="M22" i="1"/>
  <c r="M21" i="1"/>
  <c r="M19" i="1"/>
  <c r="M18" i="1"/>
  <c r="M16" i="1"/>
  <c r="M15" i="1"/>
  <c r="M14" i="1"/>
  <c r="M12" i="1"/>
  <c r="M11" i="1"/>
  <c r="M10" i="1"/>
  <c r="M9" i="1"/>
  <c r="M8" i="1"/>
  <c r="M7" i="1"/>
  <c r="M6" i="1"/>
  <c r="M5" i="1"/>
  <c r="M4" i="1"/>
  <c r="Q15" i="11"/>
  <c r="Q13" i="11" s="1"/>
  <c r="P15" i="11"/>
  <c r="P13" i="11" s="1"/>
  <c r="O15" i="11"/>
  <c r="N15" i="11"/>
  <c r="L15" i="11"/>
  <c r="T14" i="11"/>
  <c r="S14" i="11"/>
  <c r="Q14" i="11"/>
  <c r="P14" i="11"/>
  <c r="O14" i="11"/>
  <c r="N14" i="11"/>
  <c r="N13" i="11"/>
  <c r="G47" i="2" s="1"/>
  <c r="G50" i="2"/>
  <c r="L14" i="11"/>
  <c r="K15" i="11"/>
  <c r="M31" i="11"/>
  <c r="T7" i="11"/>
  <c r="S7" i="11"/>
  <c r="R7" i="11"/>
  <c r="M7" i="11"/>
  <c r="K10" i="7"/>
  <c r="K16" i="7" s="1"/>
  <c r="K6" i="7"/>
  <c r="K22" i="7"/>
  <c r="K4" i="7" s="1"/>
  <c r="M39" i="1"/>
  <c r="K24" i="7"/>
  <c r="K20" i="7"/>
  <c r="K17" i="12"/>
  <c r="M83" i="1"/>
  <c r="K8" i="12"/>
  <c r="M81" i="1"/>
  <c r="K7" i="12"/>
  <c r="K6" i="12"/>
  <c r="M51" i="1" s="1"/>
  <c r="K4" i="12"/>
  <c r="M49" i="1" s="1"/>
  <c r="K3" i="12"/>
  <c r="K21" i="11"/>
  <c r="K24" i="11"/>
  <c r="K14" i="11"/>
  <c r="K42" i="10"/>
  <c r="K14" i="9"/>
  <c r="K8" i="9"/>
  <c r="K9" i="9"/>
  <c r="K7" i="9" s="1"/>
  <c r="C32" i="2" s="1"/>
  <c r="C35" i="2" s="1"/>
  <c r="K13" i="8"/>
  <c r="K4" i="8"/>
  <c r="K7" i="8"/>
  <c r="K6" i="8" s="1"/>
  <c r="D27" i="2" s="1"/>
  <c r="D30" i="2" s="1"/>
  <c r="K8" i="8"/>
  <c r="K34" i="7"/>
  <c r="K15" i="7"/>
  <c r="M43" i="1"/>
  <c r="K17" i="6"/>
  <c r="K10" i="6"/>
  <c r="K9" i="6"/>
  <c r="K8" i="6" s="1"/>
  <c r="D17" i="2" s="1"/>
  <c r="D20" i="2" s="1"/>
  <c r="K15" i="5"/>
  <c r="K8" i="5"/>
  <c r="K7" i="5"/>
  <c r="K27" i="3"/>
  <c r="K25" i="3" s="1"/>
  <c r="D3" i="2" s="1"/>
  <c r="K26" i="3"/>
  <c r="K14" i="4"/>
  <c r="K8" i="4"/>
  <c r="K7" i="4"/>
  <c r="D7" i="2" s="1"/>
  <c r="D10" i="2"/>
  <c r="K9" i="4"/>
  <c r="D57" i="2"/>
  <c r="D56" i="2"/>
  <c r="D55" i="2"/>
  <c r="E57" i="2"/>
  <c r="E56" i="2"/>
  <c r="E55" i="2"/>
  <c r="Q84" i="1"/>
  <c r="Q52" i="1"/>
  <c r="M8" i="11"/>
  <c r="M8" i="12"/>
  <c r="S81" i="1"/>
  <c r="M6" i="11"/>
  <c r="L10" i="12"/>
  <c r="O83" i="1" s="1"/>
  <c r="L8" i="12"/>
  <c r="O81" i="1" s="1"/>
  <c r="L7" i="12"/>
  <c r="L6" i="12"/>
  <c r="O51" i="1"/>
  <c r="L4" i="12"/>
  <c r="O49" i="1"/>
  <c r="L3" i="12"/>
  <c r="O61" i="1"/>
  <c r="O60" i="1"/>
  <c r="L24" i="11"/>
  <c r="L6" i="9"/>
  <c r="L8" i="9"/>
  <c r="L7" i="9" s="1"/>
  <c r="D32" i="2" s="1"/>
  <c r="L4" i="8"/>
  <c r="M53" i="3"/>
  <c r="S16" i="1"/>
  <c r="S4" i="1"/>
  <c r="S106" i="1"/>
  <c r="S101" i="1"/>
  <c r="M6" i="10"/>
  <c r="S41" i="1"/>
  <c r="S82" i="1"/>
  <c r="S69" i="1"/>
  <c r="S68" i="1"/>
  <c r="S67" i="1"/>
  <c r="M10" i="11"/>
  <c r="S62" i="1"/>
  <c r="M12" i="11"/>
  <c r="M9" i="11"/>
  <c r="S61" i="1" s="1"/>
  <c r="R25" i="1" s="1"/>
  <c r="S44" i="1"/>
  <c r="M5" i="11"/>
  <c r="M4" i="11"/>
  <c r="S25" i="1" s="1"/>
  <c r="M3" i="11"/>
  <c r="S24" i="1" s="1"/>
  <c r="R24" i="1" s="1"/>
  <c r="S15" i="1"/>
  <c r="S5" i="1"/>
  <c r="S65" i="1"/>
  <c r="M28" i="12"/>
  <c r="M27" i="12"/>
  <c r="M29" i="12" s="1"/>
  <c r="M32" i="11"/>
  <c r="M54" i="10"/>
  <c r="M53" i="10"/>
  <c r="N20" i="9"/>
  <c r="N21" i="9"/>
  <c r="N22" i="9" s="1"/>
  <c r="M20" i="8"/>
  <c r="M21" i="8" s="1"/>
  <c r="M19" i="8"/>
  <c r="M44" i="7"/>
  <c r="M43" i="7"/>
  <c r="M45" i="7" s="1"/>
  <c r="M25" i="6"/>
  <c r="M24" i="6"/>
  <c r="M21" i="5"/>
  <c r="M22" i="5" s="1"/>
  <c r="M20" i="5"/>
  <c r="M22" i="4"/>
  <c r="M21" i="4"/>
  <c r="M54" i="3"/>
  <c r="M5" i="8"/>
  <c r="S79" i="1" s="1"/>
  <c r="M3" i="8"/>
  <c r="M8" i="8" s="1"/>
  <c r="S28" i="1"/>
  <c r="M10" i="12"/>
  <c r="S83" i="1" s="1"/>
  <c r="M7" i="12"/>
  <c r="M12" i="12" s="1"/>
  <c r="M6" i="12"/>
  <c r="S51" i="1"/>
  <c r="M4" i="12"/>
  <c r="S49" i="1"/>
  <c r="M3" i="12"/>
  <c r="M5" i="12"/>
  <c r="S50" i="1" s="1"/>
  <c r="R50" i="1" s="1"/>
  <c r="M12" i="10"/>
  <c r="M10" i="10"/>
  <c r="S75" i="1"/>
  <c r="M8" i="10"/>
  <c r="S64" i="1"/>
  <c r="R31" i="1" s="1"/>
  <c r="M7" i="10"/>
  <c r="M11" i="10"/>
  <c r="M5" i="10"/>
  <c r="M3" i="10"/>
  <c r="N6" i="9"/>
  <c r="N8" i="9"/>
  <c r="N5" i="9"/>
  <c r="S47" i="1"/>
  <c r="N4" i="9"/>
  <c r="S46" i="1"/>
  <c r="N3" i="9"/>
  <c r="M4" i="8"/>
  <c r="S74" i="1" s="1"/>
  <c r="M7" i="8"/>
  <c r="M6" i="8" s="1"/>
  <c r="F27" i="2" s="1"/>
  <c r="F30" i="2" s="1"/>
  <c r="M13" i="7"/>
  <c r="M12" i="7"/>
  <c r="M5" i="7"/>
  <c r="M4" i="7"/>
  <c r="S39" i="1" s="1"/>
  <c r="M3" i="7"/>
  <c r="M7" i="6"/>
  <c r="S72" i="1" s="1"/>
  <c r="M6" i="6"/>
  <c r="S71" i="1" s="1"/>
  <c r="M5" i="6"/>
  <c r="S35" i="1" s="1"/>
  <c r="M3" i="6"/>
  <c r="S34" i="1" s="1"/>
  <c r="M5" i="5"/>
  <c r="M7" i="5" s="1"/>
  <c r="M6" i="5"/>
  <c r="F12" i="2" s="1"/>
  <c r="M6" i="4"/>
  <c r="S55" i="1" s="1"/>
  <c r="M5" i="4"/>
  <c r="S54" i="1" s="1"/>
  <c r="M4" i="4"/>
  <c r="S19" i="1" s="1"/>
  <c r="M3" i="4"/>
  <c r="S18" i="1" s="1"/>
  <c r="M20" i="3"/>
  <c r="S58" i="1" s="1"/>
  <c r="M19" i="3"/>
  <c r="M17" i="3"/>
  <c r="S30" i="1" s="1"/>
  <c r="M16" i="3"/>
  <c r="S22" i="1" s="1"/>
  <c r="M15" i="3"/>
  <c r="S21" i="1" s="1"/>
  <c r="M18" i="3"/>
  <c r="S32" i="1" s="1"/>
  <c r="M12" i="3"/>
  <c r="S14" i="1" s="1"/>
  <c r="M11" i="3"/>
  <c r="S12" i="1" s="1"/>
  <c r="M10" i="3"/>
  <c r="S11" i="1" s="1"/>
  <c r="M9" i="3"/>
  <c r="S10" i="1" s="1"/>
  <c r="M8" i="3"/>
  <c r="S9" i="1" s="1"/>
  <c r="M7" i="3"/>
  <c r="S8" i="1" s="1"/>
  <c r="M6" i="3"/>
  <c r="M27" i="3" s="1"/>
  <c r="M5" i="3"/>
  <c r="S6" i="1"/>
  <c r="P50" i="1"/>
  <c r="P37" i="1"/>
  <c r="P31" i="1"/>
  <c r="P26" i="1"/>
  <c r="P25" i="1"/>
  <c r="P24" i="1"/>
  <c r="P19" i="1"/>
  <c r="O25" i="1"/>
  <c r="N3" i="3"/>
  <c r="N27" i="3"/>
  <c r="T3" i="3"/>
  <c r="S4" i="3"/>
  <c r="T4" i="3"/>
  <c r="T7" i="3"/>
  <c r="S10" i="3"/>
  <c r="T10" i="3"/>
  <c r="T27" i="3" s="1"/>
  <c r="T11" i="3"/>
  <c r="Q13" i="3"/>
  <c r="Q27" i="3" s="1"/>
  <c r="Q20" i="3"/>
  <c r="Q26" i="3" s="1"/>
  <c r="R22" i="3"/>
  <c r="S22" i="3"/>
  <c r="T22" i="3"/>
  <c r="R23" i="3"/>
  <c r="R26" i="3"/>
  <c r="R25" i="3" s="1"/>
  <c r="S23" i="3"/>
  <c r="T23" i="3"/>
  <c r="L26" i="3"/>
  <c r="N26" i="3"/>
  <c r="N25" i="3" s="1"/>
  <c r="G3" i="2" s="1"/>
  <c r="G52" i="2" s="1"/>
  <c r="O26" i="3"/>
  <c r="O25" i="3" s="1"/>
  <c r="H3" i="2" s="1"/>
  <c r="P26" i="3"/>
  <c r="L27" i="3"/>
  <c r="O27" i="3"/>
  <c r="P27" i="3"/>
  <c r="R27" i="3"/>
  <c r="O4" i="1"/>
  <c r="O52" i="1" s="1"/>
  <c r="W4" i="1"/>
  <c r="AL4" i="1"/>
  <c r="O5" i="1"/>
  <c r="AK5" i="1"/>
  <c r="AK52" i="1" s="1"/>
  <c r="AL5" i="1"/>
  <c r="O6" i="1"/>
  <c r="O7" i="1"/>
  <c r="O8" i="1"/>
  <c r="AL8" i="1"/>
  <c r="O9" i="1"/>
  <c r="O10" i="1"/>
  <c r="O11" i="1"/>
  <c r="AK11" i="1"/>
  <c r="AL11" i="1"/>
  <c r="O12" i="1"/>
  <c r="AG12" i="1"/>
  <c r="AL12" i="1"/>
  <c r="O14" i="1"/>
  <c r="O15" i="1"/>
  <c r="AI15" i="1"/>
  <c r="AI52" i="1" s="1"/>
  <c r="AI85" i="1" s="1"/>
  <c r="O16" i="1"/>
  <c r="O18" i="1"/>
  <c r="T19" i="1"/>
  <c r="V19" i="1"/>
  <c r="X19" i="1"/>
  <c r="Z19" i="1"/>
  <c r="AB19" i="1"/>
  <c r="AD19" i="1"/>
  <c r="AF19" i="1"/>
  <c r="AH19" i="1"/>
  <c r="O21" i="1"/>
  <c r="O22" i="1"/>
  <c r="O24" i="1"/>
  <c r="T24" i="1"/>
  <c r="V24" i="1"/>
  <c r="X24" i="1"/>
  <c r="Z24" i="1"/>
  <c r="AB24" i="1"/>
  <c r="AD24" i="1"/>
  <c r="AF24" i="1"/>
  <c r="AH24" i="1"/>
  <c r="T25" i="1"/>
  <c r="V25" i="1"/>
  <c r="X25" i="1"/>
  <c r="Z25" i="1"/>
  <c r="AB25" i="1"/>
  <c r="AD25" i="1"/>
  <c r="AF25" i="1"/>
  <c r="AH25" i="1"/>
  <c r="T26" i="1"/>
  <c r="V26" i="1"/>
  <c r="X26" i="1"/>
  <c r="Z26" i="1"/>
  <c r="AB26" i="1"/>
  <c r="AD26" i="1"/>
  <c r="AF26" i="1"/>
  <c r="AH26" i="1"/>
  <c r="AJ26" i="1"/>
  <c r="AK26" i="1"/>
  <c r="AL26" i="1"/>
  <c r="O28" i="1"/>
  <c r="O30" i="1"/>
  <c r="T31" i="1"/>
  <c r="V31" i="1"/>
  <c r="X31" i="1"/>
  <c r="Z31" i="1"/>
  <c r="AB31" i="1"/>
  <c r="AD31" i="1"/>
  <c r="AF31" i="1"/>
  <c r="AH31" i="1"/>
  <c r="O32" i="1"/>
  <c r="O34" i="1"/>
  <c r="O35" i="1"/>
  <c r="T37" i="1"/>
  <c r="V37" i="1"/>
  <c r="X37" i="1"/>
  <c r="Z37" i="1"/>
  <c r="AB37" i="1"/>
  <c r="AD37" i="1"/>
  <c r="AF37" i="1"/>
  <c r="AH37" i="1"/>
  <c r="AJ37" i="1"/>
  <c r="AK37" i="1"/>
  <c r="O40" i="1"/>
  <c r="O41" i="1"/>
  <c r="W42" i="1"/>
  <c r="O46" i="1"/>
  <c r="O47" i="1"/>
  <c r="O50" i="1"/>
  <c r="T50" i="1"/>
  <c r="V50" i="1"/>
  <c r="X50" i="1"/>
  <c r="Z50" i="1"/>
  <c r="AB50" i="1"/>
  <c r="AD50" i="1"/>
  <c r="AF50" i="1"/>
  <c r="AH50" i="1"/>
  <c r="U52" i="1"/>
  <c r="Y52" i="1"/>
  <c r="AA52" i="1"/>
  <c r="AC52" i="1"/>
  <c r="AE52" i="1"/>
  <c r="O54" i="1"/>
  <c r="O57" i="1"/>
  <c r="O58" i="1"/>
  <c r="AI58" i="1"/>
  <c r="AI84" i="1"/>
  <c r="O62" i="1"/>
  <c r="AJ62" i="1"/>
  <c r="O65" i="1"/>
  <c r="O67" i="1"/>
  <c r="AJ67" i="1"/>
  <c r="AK67" i="1"/>
  <c r="AL67" i="1"/>
  <c r="O68" i="1"/>
  <c r="AJ68" i="1"/>
  <c r="AK68" i="1"/>
  <c r="AL68" i="1"/>
  <c r="O69" i="1"/>
  <c r="W69" i="1"/>
  <c r="W84" i="1"/>
  <c r="O71" i="1"/>
  <c r="O72" i="1"/>
  <c r="AL74" i="1"/>
  <c r="AL75" i="1"/>
  <c r="AL84" i="1" s="1"/>
  <c r="AL85" i="1" s="1"/>
  <c r="O76" i="1"/>
  <c r="O77" i="1"/>
  <c r="O79" i="1"/>
  <c r="AL79" i="1"/>
  <c r="AL80" i="1"/>
  <c r="O82" i="1"/>
  <c r="U84" i="1"/>
  <c r="Y84" i="1"/>
  <c r="Y85" i="1" s="1"/>
  <c r="AA84" i="1"/>
  <c r="AA85" i="1" s="1"/>
  <c r="AA96" i="1"/>
  <c r="AC84" i="1"/>
  <c r="AE84" i="1"/>
  <c r="AE85" i="1" s="1"/>
  <c r="AG84" i="1"/>
  <c r="AG16" i="1"/>
  <c r="O19" i="1"/>
  <c r="L8" i="4"/>
  <c r="L7" i="4" s="1"/>
  <c r="E7" i="2" s="1"/>
  <c r="N8" i="4"/>
  <c r="O8" i="4"/>
  <c r="O7" i="4" s="1"/>
  <c r="H7" i="2" s="1"/>
  <c r="P8" i="4"/>
  <c r="Q8" i="4"/>
  <c r="L9" i="4"/>
  <c r="N9" i="4"/>
  <c r="N7" i="4"/>
  <c r="G7" i="2" s="1"/>
  <c r="G10" i="2"/>
  <c r="O9" i="4"/>
  <c r="P9" i="4"/>
  <c r="Q9" i="4"/>
  <c r="L7" i="5"/>
  <c r="L6" i="5" s="1"/>
  <c r="E12" i="2" s="1"/>
  <c r="L8" i="5"/>
  <c r="N7" i="5"/>
  <c r="O7" i="5"/>
  <c r="P7" i="5"/>
  <c r="Q7" i="5"/>
  <c r="R7" i="5"/>
  <c r="R6" i="5" s="1"/>
  <c r="S7" i="5"/>
  <c r="T7" i="5"/>
  <c r="T6" i="5" s="1"/>
  <c r="N8" i="5"/>
  <c r="O8" i="5"/>
  <c r="O6" i="5" s="1"/>
  <c r="H12" i="2" s="1"/>
  <c r="P8" i="5"/>
  <c r="P6" i="5"/>
  <c r="Q8" i="5"/>
  <c r="Q6" i="5"/>
  <c r="R8" i="5"/>
  <c r="S8" i="5"/>
  <c r="S6" i="5" s="1"/>
  <c r="T8" i="5"/>
  <c r="L9" i="6"/>
  <c r="L10" i="6"/>
  <c r="L8" i="6" s="1"/>
  <c r="E17" i="2" s="1"/>
  <c r="E20" i="2" s="1"/>
  <c r="N9" i="6"/>
  <c r="O9" i="6"/>
  <c r="P9" i="6"/>
  <c r="N10" i="6"/>
  <c r="N8" i="6" s="1"/>
  <c r="G17" i="2" s="1"/>
  <c r="G20" i="2" s="1"/>
  <c r="O10" i="6"/>
  <c r="O8" i="6" s="1"/>
  <c r="H17" i="2"/>
  <c r="P10" i="6"/>
  <c r="P8" i="6"/>
  <c r="O38" i="1"/>
  <c r="O39" i="1"/>
  <c r="O43" i="1"/>
  <c r="L15" i="7"/>
  <c r="N15" i="7"/>
  <c r="O15" i="7"/>
  <c r="P15" i="7"/>
  <c r="Q15" i="7"/>
  <c r="R15" i="7"/>
  <c r="S15" i="7"/>
  <c r="T15" i="7"/>
  <c r="N16" i="7"/>
  <c r="N14" i="7" s="1"/>
  <c r="G22" i="2"/>
  <c r="G25" i="2" s="1"/>
  <c r="O16" i="7"/>
  <c r="O14" i="7" s="1"/>
  <c r="H22" i="2"/>
  <c r="P16" i="7"/>
  <c r="Q16" i="7"/>
  <c r="Q14" i="7" s="1"/>
  <c r="R16" i="7"/>
  <c r="R14" i="7" s="1"/>
  <c r="S16" i="7"/>
  <c r="S14" i="7" s="1"/>
  <c r="T16" i="7"/>
  <c r="T14" i="7" s="1"/>
  <c r="L24" i="7"/>
  <c r="L28" i="7" s="1"/>
  <c r="T4" i="8"/>
  <c r="T5" i="8"/>
  <c r="N7" i="8"/>
  <c r="O7" i="8"/>
  <c r="P7" i="8"/>
  <c r="Q7" i="8"/>
  <c r="R7" i="8"/>
  <c r="S7" i="8"/>
  <c r="L8" i="8"/>
  <c r="N8" i="8"/>
  <c r="N6" i="8"/>
  <c r="G27" i="2" s="1"/>
  <c r="G30" i="2"/>
  <c r="O8" i="8"/>
  <c r="O6" i="8"/>
  <c r="H27" i="2" s="1"/>
  <c r="P8" i="8"/>
  <c r="Q8" i="8"/>
  <c r="Q6" i="8"/>
  <c r="R8" i="8"/>
  <c r="R6" i="8"/>
  <c r="S8" i="8"/>
  <c r="S6" i="8"/>
  <c r="T8" i="8"/>
  <c r="O37" i="1"/>
  <c r="R5" i="10"/>
  <c r="R15" i="10"/>
  <c r="R13" i="10" s="1"/>
  <c r="S5" i="10"/>
  <c r="T10" i="10"/>
  <c r="T14" i="10" s="1"/>
  <c r="N14" i="10"/>
  <c r="O14" i="10"/>
  <c r="P14" i="10"/>
  <c r="P13" i="10" s="1"/>
  <c r="Q14" i="10"/>
  <c r="Q13" i="10"/>
  <c r="R14" i="10"/>
  <c r="S14" i="10"/>
  <c r="S13" i="10" s="1"/>
  <c r="N15" i="10"/>
  <c r="O15" i="10"/>
  <c r="O13" i="10" s="1"/>
  <c r="H37" i="2"/>
  <c r="P15" i="10"/>
  <c r="Q15" i="10"/>
  <c r="S15" i="10"/>
  <c r="T15" i="10"/>
  <c r="R6" i="11"/>
  <c r="S6" i="11"/>
  <c r="S15" i="11"/>
  <c r="S13" i="11" s="1"/>
  <c r="T6" i="11"/>
  <c r="R12" i="11"/>
  <c r="R14" i="11"/>
  <c r="T7" i="12"/>
  <c r="T12" i="12"/>
  <c r="N12" i="12"/>
  <c r="O12" i="12"/>
  <c r="O11" i="12" s="1"/>
  <c r="H42" i="2" s="1"/>
  <c r="P12" i="12"/>
  <c r="Q12" i="12"/>
  <c r="R12" i="12"/>
  <c r="S12" i="12"/>
  <c r="S11" i="12" s="1"/>
  <c r="N13" i="12"/>
  <c r="N11" i="12"/>
  <c r="G42" i="2" s="1"/>
  <c r="G45" i="2"/>
  <c r="O13" i="12"/>
  <c r="P13" i="12"/>
  <c r="Q13" i="12"/>
  <c r="Q11" i="12"/>
  <c r="R13" i="12"/>
  <c r="R11" i="12"/>
  <c r="S13" i="12"/>
  <c r="T13" i="12"/>
  <c r="T11" i="12" s="1"/>
  <c r="O8" i="9"/>
  <c r="P8" i="9"/>
  <c r="Q8" i="9"/>
  <c r="R8" i="9"/>
  <c r="S8" i="9"/>
  <c r="T8" i="9"/>
  <c r="U8" i="9"/>
  <c r="U7" i="9"/>
  <c r="L9" i="9"/>
  <c r="O9" i="9"/>
  <c r="O7" i="9" s="1"/>
  <c r="G32" i="2" s="1"/>
  <c r="G35" i="2" s="1"/>
  <c r="P9" i="9"/>
  <c r="Q9" i="9"/>
  <c r="Q7" i="9" s="1"/>
  <c r="R9" i="9"/>
  <c r="S9" i="9"/>
  <c r="T9" i="9"/>
  <c r="T7" i="9" s="1"/>
  <c r="U9" i="9"/>
  <c r="O55" i="1"/>
  <c r="N19" i="1" s="1"/>
  <c r="L16" i="7"/>
  <c r="O42" i="1"/>
  <c r="M8" i="5"/>
  <c r="M38" i="1"/>
  <c r="N9" i="9"/>
  <c r="N7" i="9" s="1"/>
  <c r="F32" i="2" s="1"/>
  <c r="M40" i="1"/>
  <c r="M64" i="1"/>
  <c r="K14" i="10"/>
  <c r="K13" i="10" s="1"/>
  <c r="D37" i="2" s="1"/>
  <c r="D40" i="2" s="1"/>
  <c r="J16" i="7"/>
  <c r="J14" i="7" s="1"/>
  <c r="S43" i="1"/>
  <c r="O74" i="1"/>
  <c r="L7" i="8"/>
  <c r="Q85" i="1"/>
  <c r="S40" i="1"/>
  <c r="I24" i="1"/>
  <c r="F28" i="7"/>
  <c r="G13" i="11"/>
  <c r="G25" i="3"/>
  <c r="H7" i="9"/>
  <c r="H13" i="11"/>
  <c r="H13" i="10"/>
  <c r="F11" i="12"/>
  <c r="M13" i="12"/>
  <c r="L13" i="12"/>
  <c r="P11" i="12"/>
  <c r="J12" i="12"/>
  <c r="G29" i="12"/>
  <c r="K12" i="12"/>
  <c r="I13" i="12"/>
  <c r="H12" i="12"/>
  <c r="H29" i="12"/>
  <c r="C47" i="2"/>
  <c r="C50" i="2"/>
  <c r="R15" i="11"/>
  <c r="R13" i="11" s="1"/>
  <c r="S26" i="1"/>
  <c r="R26" i="1"/>
  <c r="O13" i="11"/>
  <c r="H47" i="2" s="1"/>
  <c r="I13" i="11"/>
  <c r="B47" i="2" s="1"/>
  <c r="B50" i="2" s="1"/>
  <c r="M33" i="11"/>
  <c r="L13" i="11"/>
  <c r="E47" i="2"/>
  <c r="E50" i="2"/>
  <c r="G13" i="10"/>
  <c r="J13" i="10"/>
  <c r="C37" i="2" s="1"/>
  <c r="C40" i="2" s="1"/>
  <c r="S77" i="1"/>
  <c r="I13" i="10"/>
  <c r="B37" i="2" s="1"/>
  <c r="B40" i="2" s="1"/>
  <c r="T13" i="10"/>
  <c r="N13" i="10"/>
  <c r="G37" i="2" s="1"/>
  <c r="G40" i="2" s="1"/>
  <c r="L14" i="10"/>
  <c r="K53" i="10"/>
  <c r="F35" i="2"/>
  <c r="S7" i="9"/>
  <c r="D35" i="2"/>
  <c r="J7" i="9"/>
  <c r="B32" i="2" s="1"/>
  <c r="B35" i="2" s="1"/>
  <c r="R7" i="9"/>
  <c r="P7" i="9"/>
  <c r="H32" i="2" s="1"/>
  <c r="P6" i="8"/>
  <c r="I6" i="8"/>
  <c r="B27" i="2"/>
  <c r="B30" i="2"/>
  <c r="T7" i="8"/>
  <c r="T6" i="8" s="1"/>
  <c r="H28" i="7"/>
  <c r="L14" i="7"/>
  <c r="E22" i="2"/>
  <c r="E25" i="2" s="1"/>
  <c r="C22" i="2"/>
  <c r="C25" i="2"/>
  <c r="P14" i="7"/>
  <c r="K28" i="7"/>
  <c r="H14" i="7"/>
  <c r="J8" i="6"/>
  <c r="C17" i="2" s="1"/>
  <c r="C20" i="2" s="1"/>
  <c r="I8" i="6"/>
  <c r="B17" i="2" s="1"/>
  <c r="B20" i="2" s="1"/>
  <c r="M9" i="6"/>
  <c r="N6" i="5"/>
  <c r="G12" i="2"/>
  <c r="H6" i="5"/>
  <c r="K6" i="5"/>
  <c r="D12" i="2"/>
  <c r="I6" i="5"/>
  <c r="B12" i="2"/>
  <c r="J7" i="4"/>
  <c r="C7" i="2"/>
  <c r="C10" i="2" s="1"/>
  <c r="H7" i="4"/>
  <c r="E10" i="2"/>
  <c r="L25" i="3"/>
  <c r="E3" i="2"/>
  <c r="H25" i="3"/>
  <c r="P25" i="3"/>
  <c r="Q25" i="3"/>
  <c r="M55" i="3"/>
  <c r="J25" i="3"/>
  <c r="C3" i="2"/>
  <c r="V24" i="3"/>
  <c r="U85" i="1"/>
  <c r="U96" i="1"/>
  <c r="W52" i="1"/>
  <c r="AJ52" i="1"/>
  <c r="R19" i="1"/>
  <c r="AG52" i="1"/>
  <c r="AG85" i="1" s="1"/>
  <c r="AJ84" i="1"/>
  <c r="AJ85" i="1"/>
  <c r="I84" i="1"/>
  <c r="I52" i="1"/>
  <c r="I85" i="1" s="1"/>
  <c r="I96" i="1" s="1"/>
  <c r="K84" i="1"/>
  <c r="M74" i="1"/>
  <c r="M15" i="7"/>
  <c r="L12" i="12"/>
  <c r="L11" i="12"/>
  <c r="E42" i="2" s="1"/>
  <c r="E45" i="2" s="1"/>
  <c r="M14" i="11"/>
  <c r="S60" i="1"/>
  <c r="O31" i="1"/>
  <c r="M15" i="11"/>
  <c r="M13" i="11" s="1"/>
  <c r="F47" i="2"/>
  <c r="F50" i="2"/>
  <c r="M10" i="6"/>
  <c r="S37" i="1"/>
  <c r="R37" i="1"/>
  <c r="AL52" i="1"/>
  <c r="M55" i="10"/>
  <c r="K14" i="7"/>
  <c r="D22" i="2" s="1"/>
  <c r="D25" i="2" s="1"/>
  <c r="M14" i="10"/>
  <c r="P7" i="4"/>
  <c r="S26" i="3"/>
  <c r="S27" i="3"/>
  <c r="S25" i="3" s="1"/>
  <c r="M26" i="6"/>
  <c r="M9" i="4"/>
  <c r="AC85" i="1"/>
  <c r="M8" i="6"/>
  <c r="F17" i="2" s="1"/>
  <c r="F20" i="2" s="1"/>
  <c r="H52" i="1" l="1"/>
  <c r="H85" i="1" s="1"/>
  <c r="H96" i="1" s="1"/>
  <c r="F7" i="8"/>
  <c r="F6" i="8" s="1"/>
  <c r="O85" i="1"/>
  <c r="O96" i="1" s="1"/>
  <c r="J85" i="1"/>
  <c r="J96" i="1" s="1"/>
  <c r="W85" i="1"/>
  <c r="W96" i="1" s="1"/>
  <c r="Q7" i="4"/>
  <c r="K49" i="1"/>
  <c r="K52" i="1" s="1"/>
  <c r="K85" i="1" s="1"/>
  <c r="K96" i="1" s="1"/>
  <c r="J13" i="12"/>
  <c r="J11" i="12" s="1"/>
  <c r="C42" i="2" s="1"/>
  <c r="C45" i="2" s="1"/>
  <c r="M11" i="12"/>
  <c r="F42" i="2" s="1"/>
  <c r="F45" i="2" s="1"/>
  <c r="H52" i="2"/>
  <c r="H53" i="2" s="1"/>
  <c r="S42" i="1"/>
  <c r="M15" i="10"/>
  <c r="M13" i="10" s="1"/>
  <c r="F37" i="2" s="1"/>
  <c r="F40" i="2" s="1"/>
  <c r="M52" i="1"/>
  <c r="M85" i="1" s="1"/>
  <c r="M8" i="4"/>
  <c r="M7" i="4" s="1"/>
  <c r="F7" i="2" s="1"/>
  <c r="F10" i="2" s="1"/>
  <c r="AK84" i="1"/>
  <c r="AK85" i="1" s="1"/>
  <c r="T15" i="11"/>
  <c r="T13" i="11" s="1"/>
  <c r="F56" i="2"/>
  <c r="I12" i="12"/>
  <c r="I11" i="12" s="1"/>
  <c r="B42" i="2" s="1"/>
  <c r="B45" i="2" s="1"/>
  <c r="L6" i="8"/>
  <c r="E27" i="2" s="1"/>
  <c r="E30" i="2" s="1"/>
  <c r="S7" i="1"/>
  <c r="S52" i="1" s="1"/>
  <c r="S102" i="1" s="1"/>
  <c r="M26" i="3"/>
  <c r="M25" i="3" s="1"/>
  <c r="F3" i="2" s="1"/>
  <c r="S57" i="1"/>
  <c r="S84" i="1" s="1"/>
  <c r="M16" i="7"/>
  <c r="M14" i="7" s="1"/>
  <c r="F22" i="2" s="1"/>
  <c r="F25" i="2" s="1"/>
  <c r="S38" i="1"/>
  <c r="M23" i="4"/>
  <c r="F55" i="2" s="1"/>
  <c r="F57" i="2"/>
  <c r="K13" i="12"/>
  <c r="K11" i="12" s="1"/>
  <c r="D42" i="2" s="1"/>
  <c r="D45" i="2" s="1"/>
  <c r="N23" i="10"/>
  <c r="L15" i="10"/>
  <c r="L13" i="10" s="1"/>
  <c r="E37" i="2" s="1"/>
  <c r="E40" i="2" s="1"/>
  <c r="M9" i="9"/>
  <c r="M7" i="9" s="1"/>
  <c r="E32" i="2" s="1"/>
  <c r="E35" i="2" s="1"/>
  <c r="T26" i="3"/>
  <c r="T25" i="3" s="1"/>
  <c r="K13" i="11"/>
  <c r="D47" i="2" s="1"/>
  <c r="D50" i="2" s="1"/>
  <c r="I7" i="4"/>
  <c r="B7" i="2" s="1"/>
  <c r="I14" i="7"/>
  <c r="B22" i="2" s="1"/>
  <c r="B25" i="2" s="1"/>
  <c r="G12" i="12"/>
  <c r="F29" i="12"/>
  <c r="H13" i="12"/>
  <c r="H11" i="12" s="1"/>
  <c r="F14" i="7"/>
  <c r="G13" i="12"/>
  <c r="G11" i="12" s="1"/>
  <c r="F13" i="10"/>
  <c r="F25" i="3"/>
  <c r="G84" i="1"/>
  <c r="G52" i="1"/>
  <c r="M96" i="1" l="1"/>
  <c r="G53" i="2"/>
  <c r="D52" i="2"/>
  <c r="D53" i="2" s="1"/>
  <c r="C52" i="2"/>
  <c r="C53" i="2" s="1"/>
  <c r="S108" i="1"/>
  <c r="S107" i="1"/>
  <c r="S85" i="1"/>
  <c r="S96" i="1" s="1"/>
  <c r="B10" i="2"/>
  <c r="B52" i="2"/>
  <c r="B53" i="2" s="1"/>
  <c r="F52" i="2"/>
  <c r="F53" i="2" s="1"/>
  <c r="S103" i="1"/>
  <c r="E52" i="2"/>
  <c r="E53" i="2" s="1"/>
  <c r="G85" i="1"/>
  <c r="G9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tc={971E51E5-5488-454D-A25C-353BDE4085C5}</author>
  </authors>
  <commentList>
    <comment ref="F3" authorId="0" shapeId="0" xr:uid="{971E51E5-5488-454D-A25C-353BDE4085C5}">
      <text>
        <t>[Threaded comment]
Your version of Excel allows you to read this threaded comment; however, any edits to it will get removed if the file is opened in a newer version of Excel. Learn more: https://go.microsoft.com/fwlink/?linkid=870924
Comment:
    Mooring $750
Block Island $20
Legal $750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Charles Jenison</author>
  </authors>
  <commentList>
    <comment ref="F11" authorId="0" shapeId="0" xr:uid="{00000000-0006-0000-0300-000001000000}">
      <text>
        <r>
          <rPr>
            <b/>
            <sz val="9"/>
            <color indexed="81"/>
            <rFont val="Tahoma"/>
            <charset val="1"/>
          </rPr>
          <t>Yr 2021
Zoom - 160.39
Quicken - 55.24
GlowHost - 63.00
GoDaddy - 21.17
FastSpring - 39.86
GlowHost - 599.76</t>
        </r>
      </text>
    </comment>
    <comment ref="G11" authorId="0" shapeId="0" xr:uid="{00000000-0006-0000-0300-000002000000}">
      <text>
        <r>
          <rPr>
            <b/>
            <sz val="9"/>
            <color indexed="81"/>
            <rFont val="Tahoma"/>
            <charset val="1"/>
          </rPr>
          <t>Yr 2021
Zoom - 160.39
Quicken - 55.24
GlowHost - 63.00
GoDaddy - 21.17
FastSpring - 39.86
GlowHost - 599.76</t>
        </r>
      </text>
    </comment>
    <comment ref="F22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153 x 35 = 5355
new as of 11/2019
150 x 45 = 6750</t>
        </r>
      </text>
    </comment>
    <comment ref="G22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153 x 35 = 5355
new as of 11/2019
150 x 45 = 6750</t>
        </r>
      </text>
    </comment>
    <comment ref="H22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153 x 35 = 5355
new as of 11/2019
150 x 45 = 6750</t>
        </r>
      </text>
    </comment>
    <comment ref="I22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153 x 35 = 5355</t>
        </r>
      </text>
    </comment>
    <comment ref="F23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54 x 25 = 1350
new as of 11/2019
46 x 35 = 1610</t>
        </r>
      </text>
    </comment>
    <comment ref="G23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54 x 25 = 1350
new as of 11/2019
46 x 35 = 1610</t>
        </r>
      </text>
    </comment>
    <comment ref="H23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54 x 25 = 1350
new as of 11/2019
46 x 35 = 1610</t>
        </r>
      </text>
    </comment>
    <comment ref="I23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54 x 25 = 1350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tc={2B4224D6-8EB0-4F21-BAFD-D49B657D52AC}</author>
    <author>tc={3CCF9323-C41B-470B-BEB4-8167409C3653}</author>
  </authors>
  <commentList>
    <comment ref="F3" authorId="0" shapeId="0" xr:uid="{2B4224D6-8EB0-4F21-BAFD-D49B657D52AC}">
      <text>
        <t>[Threaded comment]
Your version of Excel allows you to read this threaded comment; however, any edits to it will get removed if the file is opened in a newer version of Excel. Learn more: https://go.microsoft.com/fwlink/?linkid=870924
Comment:
    Rich asked for an increase to $200</t>
      </text>
    </comment>
    <comment ref="G3" authorId="1" shapeId="0" xr:uid="{3CCF9323-C41B-470B-BEB4-8167409C3653}">
      <text>
        <t>[Threaded comment]
Your version of Excel allows you to read this threaded comment; however, any edits to it will get removed if the file is opened in a newer version of Excel. Learn more: https://go.microsoft.com/fwlink/?linkid=870924
Comment:
    Corrected by Rich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marissa</author>
    <author xml:space="preserve"> </author>
  </authors>
  <commentList>
    <comment ref="A4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marissa: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1" shapeId="0" xr:uid="{00000000-0006-0000-0800-000002000000}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$1916.28 received from insurance payment</t>
        </r>
      </text>
    </comment>
  </commentList>
</comments>
</file>

<file path=xl/sharedStrings.xml><?xml version="1.0" encoding="utf-8"?>
<sst xmlns="http://schemas.openxmlformats.org/spreadsheetml/2006/main" count="1382" uniqueCount="266">
  <si>
    <t>Quicken Categories for Reporting</t>
  </si>
  <si>
    <t>Name for</t>
  </si>
  <si>
    <t>Net Offset</t>
  </si>
  <si>
    <t>Budget</t>
  </si>
  <si>
    <t>Actual</t>
  </si>
  <si>
    <t>Approximate History</t>
  </si>
  <si>
    <t>Category</t>
  </si>
  <si>
    <t>Type</t>
  </si>
  <si>
    <t>Description</t>
  </si>
  <si>
    <t>Group</t>
  </si>
  <si>
    <t>d</t>
  </si>
  <si>
    <t>Input</t>
  </si>
  <si>
    <t>by Income</t>
  </si>
  <si>
    <t>Administrative Expense</t>
  </si>
  <si>
    <t>Expense</t>
  </si>
  <si>
    <t>CHNYC Expense</t>
  </si>
  <si>
    <t>Misc.</t>
  </si>
  <si>
    <t>Miscellaneous</t>
  </si>
  <si>
    <t>Admin</t>
  </si>
  <si>
    <t xml:space="preserve">   Office Expense</t>
  </si>
  <si>
    <t xml:space="preserve">   Perpetual trophy engraving</t>
  </si>
  <si>
    <t xml:space="preserve">   PO Box Rental</t>
  </si>
  <si>
    <t xml:space="preserve">   Postage</t>
  </si>
  <si>
    <t xml:space="preserve">   RI State Filing Fee</t>
  </si>
  <si>
    <t xml:space="preserve">   Telltale Postage</t>
  </si>
  <si>
    <t xml:space="preserve">   Telltale Printing</t>
  </si>
  <si>
    <t xml:space="preserve">   Website Expense</t>
  </si>
  <si>
    <t>Bank Charge</t>
  </si>
  <si>
    <t xml:space="preserve">   Check Reorder</t>
  </si>
  <si>
    <t xml:space="preserve">   Other</t>
  </si>
  <si>
    <t xml:space="preserve">   PayPal Fee</t>
  </si>
  <si>
    <t>Cruising Squadron Expense</t>
  </si>
  <si>
    <t xml:space="preserve">   Supplies</t>
  </si>
  <si>
    <t>Cruising</t>
  </si>
  <si>
    <t xml:space="preserve">   Training (Offset by Income)</t>
  </si>
  <si>
    <t>Dues</t>
  </si>
  <si>
    <t xml:space="preserve">   NBYA</t>
  </si>
  <si>
    <t xml:space="preserve">   US Sailing</t>
  </si>
  <si>
    <t>Event Expense (Offset by Income)</t>
  </si>
  <si>
    <t xml:space="preserve">   Awards Dinner</t>
  </si>
  <si>
    <t>Social</t>
  </si>
  <si>
    <t xml:space="preserve">   Commissioning</t>
  </si>
  <si>
    <t xml:space="preserve">   Social Event</t>
  </si>
  <si>
    <t>Add tag for name of event</t>
  </si>
  <si>
    <t>Facilities</t>
  </si>
  <si>
    <t xml:space="preserve">   Mooring Maintenance</t>
  </si>
  <si>
    <t>Insurance</t>
  </si>
  <si>
    <t xml:space="preserve">   CHNYC Policy</t>
  </si>
  <si>
    <t xml:space="preserve">   Shields Policy (Offset by Income)</t>
  </si>
  <si>
    <t>Shields</t>
  </si>
  <si>
    <t>Membership Expense</t>
  </si>
  <si>
    <t>Power Squadron Expense</t>
  </si>
  <si>
    <t>Power</t>
  </si>
  <si>
    <t xml:space="preserve">   Training</t>
  </si>
  <si>
    <t>Racing Expense</t>
  </si>
  <si>
    <t xml:space="preserve">   Fleet 9 Race Fee (Offset by income)</t>
  </si>
  <si>
    <t xml:space="preserve">   Race Committee Supplies</t>
  </si>
  <si>
    <t>Race Comm</t>
  </si>
  <si>
    <t>Race Committee Training</t>
  </si>
  <si>
    <t xml:space="preserve">   Rhodes Race Awards</t>
  </si>
  <si>
    <t>Rhodes</t>
  </si>
  <si>
    <t xml:space="preserve">   Shields Race Awards</t>
  </si>
  <si>
    <t xml:space="preserve">   Shields Equipment Expense</t>
  </si>
  <si>
    <t xml:space="preserve">   US Sailing Rules Book</t>
  </si>
  <si>
    <t xml:space="preserve">   Winslow Cup</t>
  </si>
  <si>
    <t>Sail Training Expense</t>
  </si>
  <si>
    <t xml:space="preserve">   Incentives &amp; Awards</t>
  </si>
  <si>
    <t>Training</t>
  </si>
  <si>
    <t xml:space="preserve">   Instruction</t>
  </si>
  <si>
    <t>Ship's Store Expense</t>
  </si>
  <si>
    <t xml:space="preserve">   Apparel</t>
  </si>
  <si>
    <t>Store</t>
  </si>
  <si>
    <t xml:space="preserve">   Burgees</t>
  </si>
  <si>
    <t>Total Expense</t>
  </si>
  <si>
    <t>Cruising Squadron Income</t>
  </si>
  <si>
    <t>Income</t>
  </si>
  <si>
    <t>CHNYC Income</t>
  </si>
  <si>
    <t>Donation Income</t>
  </si>
  <si>
    <t xml:space="preserve">   Designated Donation</t>
  </si>
  <si>
    <t>Add Tag for designation</t>
  </si>
  <si>
    <t xml:space="preserve">   Unrestricted Income</t>
  </si>
  <si>
    <t>Event Income</t>
  </si>
  <si>
    <t>CHNYC Event Income</t>
  </si>
  <si>
    <t>Add Event Title as Tag</t>
  </si>
  <si>
    <t>Insurance Income</t>
  </si>
  <si>
    <t>Income for Insurance</t>
  </si>
  <si>
    <t xml:space="preserve">   Shields Insurance Income</t>
  </si>
  <si>
    <t>Interest Inc</t>
  </si>
  <si>
    <t>Interest Income</t>
  </si>
  <si>
    <t>Membership Dues</t>
  </si>
  <si>
    <t xml:space="preserve">   Family</t>
  </si>
  <si>
    <t xml:space="preserve">   Individual</t>
  </si>
  <si>
    <t>Individual Dues</t>
  </si>
  <si>
    <t>Other Inc</t>
  </si>
  <si>
    <t>Other Income</t>
  </si>
  <si>
    <t>Power Squadron Income</t>
  </si>
  <si>
    <t>Race Income</t>
  </si>
  <si>
    <t xml:space="preserve">   Rhodes</t>
  </si>
  <si>
    <t>Add Tag for Sping or Fall</t>
  </si>
  <si>
    <t xml:space="preserve">   Shields</t>
  </si>
  <si>
    <t>Add Shields or Rhodes Tag</t>
  </si>
  <si>
    <t>Sail Training Income</t>
  </si>
  <si>
    <t xml:space="preserve">   Check Rides</t>
  </si>
  <si>
    <t>Ship's Store Income</t>
  </si>
  <si>
    <t>Total Income</t>
  </si>
  <si>
    <t>Net Income less (Expense)</t>
  </si>
  <si>
    <t>Capital Fundraising</t>
  </si>
  <si>
    <t>Passthrough Expense</t>
  </si>
  <si>
    <t xml:space="preserve">   Shields Fund</t>
  </si>
  <si>
    <t>Add tag for reason</t>
  </si>
  <si>
    <t xml:space="preserve">   Shields Fund Prev Year</t>
  </si>
  <si>
    <t>Yacht Club Reciprocity Income</t>
  </si>
  <si>
    <t>YC name as tag</t>
  </si>
  <si>
    <t>Passthrough Income</t>
  </si>
  <si>
    <t>Yacht Club Reciprocity (Expense)</t>
  </si>
  <si>
    <t>Treasurer error income</t>
  </si>
  <si>
    <t>Treasurer error expense</t>
  </si>
  <si>
    <t>Shields Damage payment</t>
  </si>
  <si>
    <t>Insurance Check Shields Damage</t>
  </si>
  <si>
    <t>Community Donation</t>
  </si>
  <si>
    <t>Includes Passthrough</t>
  </si>
  <si>
    <t>Administrative Net Income/(Expense)</t>
  </si>
  <si>
    <t>Bill Kneller</t>
  </si>
  <si>
    <t>Members</t>
  </si>
  <si>
    <t>Cruising Squadron Net Income/(Expense)</t>
  </si>
  <si>
    <t>Jeff Schuldheiss</t>
  </si>
  <si>
    <t># of CHNYC members participating</t>
  </si>
  <si>
    <t>$ per participant</t>
  </si>
  <si>
    <t>Paul Schmidle</t>
  </si>
  <si>
    <t>Power Squadron Net Income/(Expense)</t>
  </si>
  <si>
    <t>Mike/Jeanne Van Vleck</t>
  </si>
  <si>
    <t>Race Committee Net</t>
  </si>
  <si>
    <t>Jane Eaton</t>
  </si>
  <si>
    <t>Rhodes Racing Net Income/(Expense</t>
  </si>
  <si>
    <t>Mike McDonald</t>
  </si>
  <si>
    <t>Sail Training Income/(Expense)</t>
  </si>
  <si>
    <t>Don O'Brien/Dave Wilson</t>
  </si>
  <si>
    <t>Shields Net Income/(Expense)</t>
  </si>
  <si>
    <t>Ron Oard</t>
  </si>
  <si>
    <t>Ships Store</t>
  </si>
  <si>
    <t>Cheryl/Mike Marrone</t>
  </si>
  <si>
    <t>Total Net Income (Expense)</t>
  </si>
  <si>
    <t>Checksum with Budget Tab (0 is Good)</t>
  </si>
  <si>
    <t>Code</t>
  </si>
  <si>
    <t>Administrative</t>
  </si>
  <si>
    <t xml:space="preserve">   Membership Expense</t>
  </si>
  <si>
    <t xml:space="preserve">   Interest Inc</t>
  </si>
  <si>
    <t>Family Dues</t>
  </si>
  <si>
    <t xml:space="preserve">   Other Inc.</t>
  </si>
  <si>
    <t>Net</t>
  </si>
  <si>
    <t>Cruising Squadron</t>
  </si>
  <si>
    <t>2015 SRM15 Maintenance</t>
  </si>
  <si>
    <t>Oldport quote</t>
  </si>
  <si>
    <t>Power Squadron</t>
  </si>
  <si>
    <t>Supplies includes $100 misc. plus $500 subsidy for social event associated with cruise</t>
  </si>
  <si>
    <t>Race Committee</t>
  </si>
  <si>
    <t xml:space="preserve">   Race Committee Training</t>
  </si>
  <si>
    <t>Add Shields</t>
  </si>
  <si>
    <t>Race Committee Supplies</t>
  </si>
  <si>
    <t>Race Management Training</t>
  </si>
  <si>
    <t>US Sailing Rules Book</t>
  </si>
  <si>
    <t>Winslow Cup</t>
  </si>
  <si>
    <t>Subtotal</t>
  </si>
  <si>
    <t>The RC's two inflatable race marks were the personal property of Chuck Kesson</t>
  </si>
  <si>
    <t>For 2015, the RC is requesting funds to purchase one mark with storage bag and tackle.</t>
  </si>
  <si>
    <r>
      <t xml:space="preserve">Race Training Management Training Seminar for </t>
    </r>
    <r>
      <rPr>
        <i/>
        <sz val="10"/>
        <rFont val="Arial"/>
        <family val="2"/>
      </rPr>
      <t>two</t>
    </r>
    <r>
      <rPr>
        <sz val="10"/>
        <rFont val="Arial"/>
        <family val="2"/>
      </rPr>
      <t xml:space="preserve"> people $40 each, required US Sailing Membership $50 each</t>
    </r>
  </si>
  <si>
    <t>US Sailing Membership provides $60 in gift card to West Marine.</t>
  </si>
  <si>
    <t>Gift card will be applied toward race mark or supplies</t>
  </si>
  <si>
    <t>US Sailing Rules Book will be provided at N/C with membership.</t>
  </si>
  <si>
    <t>Winslow Cup 1st and 2nd place trophies for Shields and Rhodes is guess-timated at $40 each: $160</t>
  </si>
  <si>
    <t>Add Third Place Trophies for Shields and Rhodes Awards:  $80</t>
  </si>
  <si>
    <t>Lunch and drinks for 5 RC at $8 each, water for racers  $50</t>
  </si>
  <si>
    <t xml:space="preserve">   Sail Training Expense</t>
  </si>
  <si>
    <t>Sail Training</t>
  </si>
  <si>
    <t xml:space="preserve">   Sail Training Income</t>
  </si>
  <si>
    <t xml:space="preserve">   Shields Policy</t>
  </si>
  <si>
    <t xml:space="preserve">   Shields National Registration</t>
  </si>
  <si>
    <t xml:space="preserve">   Fleet 9 Winslow Expense</t>
  </si>
  <si>
    <t xml:space="preserve">   Race Income Shields</t>
  </si>
  <si>
    <t xml:space="preserve">   Fleet 9 Winslow Income (1)</t>
  </si>
  <si>
    <t xml:space="preserve">   Shields Donations</t>
  </si>
  <si>
    <t xml:space="preserve">Notes: (1) Fleet 9 Winslow Expense accounts for the income CHNYC realizes from Fleet 9 for every Winslow Regatta.  </t>
  </si>
  <si>
    <t>CNHYC gets a credit from Fleet 9 for every Shields that participates in the Winslow Regatta.  Budget number based on 8 participants.</t>
  </si>
  <si>
    <t xml:space="preserve">               Entered as an expense here, and as income under Race Committee, as this funds trophies for Shields competitors and misc RC Winslow expenses.</t>
  </si>
  <si>
    <t>RHIB Budget (Added to Shields Equipment Expense for 2015)</t>
  </si>
  <si>
    <t>Rubber Repair Kit</t>
  </si>
  <si>
    <t>2-stroke oil</t>
  </si>
  <si>
    <t>Fuel</t>
  </si>
  <si>
    <t>Bottom paint</t>
  </si>
  <si>
    <t>Painting materials</t>
  </si>
  <si>
    <t>Cleaner</t>
  </si>
  <si>
    <t>Spark plug</t>
  </si>
  <si>
    <t>Gas tank</t>
  </si>
  <si>
    <t>Tank hose</t>
  </si>
  <si>
    <t>90 wt lower unit oil</t>
  </si>
  <si>
    <t>Squirt tube for lower unit oil</t>
  </si>
  <si>
    <t xml:space="preserve">Registration </t>
  </si>
  <si>
    <t>Boat</t>
  </si>
  <si>
    <t>Engine</t>
  </si>
  <si>
    <t>Contingency</t>
  </si>
  <si>
    <t xml:space="preserve">   Social Event Name #1</t>
  </si>
  <si>
    <t>Bowling 1</t>
  </si>
  <si>
    <t xml:space="preserve">   Social Event Name #2</t>
  </si>
  <si>
    <t>Bowling 2</t>
  </si>
  <si>
    <t>Pizza Party</t>
  </si>
  <si>
    <t xml:space="preserve">Movies under the stars </t>
  </si>
  <si>
    <t xml:space="preserve">   Ship's Store Expense</t>
  </si>
  <si>
    <t>Ship's Store</t>
  </si>
  <si>
    <t xml:space="preserve">   Ship's Store Income</t>
  </si>
  <si>
    <t>Planning Deltas to sum in above</t>
  </si>
  <si>
    <t>Paint for SRM15</t>
  </si>
  <si>
    <t>Correct Admin Error</t>
  </si>
  <si>
    <t>Awards for dinner</t>
  </si>
  <si>
    <t>Winter storage dinghy supplies</t>
  </si>
  <si>
    <t>For awards dinner</t>
  </si>
  <si>
    <t>Total Planning Delta Expense</t>
  </si>
  <si>
    <t>Total Planning Delta Income</t>
  </si>
  <si>
    <t>Net Planning Delta</t>
  </si>
  <si>
    <t>Planning Income Delta</t>
  </si>
  <si>
    <t>Planning Expense Delta</t>
  </si>
  <si>
    <t>Net Planning Deltas</t>
  </si>
  <si>
    <t>Quicken Expenses</t>
  </si>
  <si>
    <t>Quicken Income</t>
  </si>
  <si>
    <t>Less YC Reciprocity</t>
  </si>
  <si>
    <t>Check with Working Budget (0 is good!)</t>
  </si>
  <si>
    <t>Delta Projection to Actual in Quicken</t>
  </si>
  <si>
    <t>Sanity Check</t>
  </si>
  <si>
    <t>Race Chair Recommended 2017 budget</t>
  </si>
  <si>
    <t>Intercup end of year race</t>
  </si>
  <si>
    <t>Winter Race Rules Seminar</t>
  </si>
  <si>
    <t>Race Marks with Storage Bag and Tackle</t>
  </si>
  <si>
    <t>Race Marks w/storage bag/tck</t>
  </si>
  <si>
    <t>Social Event Name #1</t>
  </si>
  <si>
    <t>Social Event Name #2</t>
  </si>
  <si>
    <t>Awards Dinner</t>
  </si>
  <si>
    <t>Commissioning</t>
  </si>
  <si>
    <t>Social Event Name #3</t>
  </si>
  <si>
    <t xml:space="preserve">   Membership Expense J109</t>
  </si>
  <si>
    <t>Winslow - potluck</t>
  </si>
  <si>
    <t>Race mark</t>
  </si>
  <si>
    <t>reg</t>
  </si>
  <si>
    <t>Shields Insurance Income</t>
  </si>
  <si>
    <t>Shields Race Income</t>
  </si>
  <si>
    <t>Shields Fleet 9 Winslow</t>
  </si>
  <si>
    <t>Shields Race Awards</t>
  </si>
  <si>
    <t>Shields Equipment Expense</t>
  </si>
  <si>
    <t>Shields Insurance claim payment</t>
  </si>
  <si>
    <t>Mooring Maintenance</t>
  </si>
  <si>
    <t>Dingy</t>
  </si>
  <si>
    <t xml:space="preserve">   CHNYC Burgee Insurance Policy-CHUBB</t>
  </si>
  <si>
    <t>Descrip</t>
  </si>
  <si>
    <t>Commercail Yacht Policy</t>
  </si>
  <si>
    <t>Fleet 9 Shields National Registration</t>
  </si>
  <si>
    <t>Liability Insurance</t>
  </si>
  <si>
    <t>@ 80% of exp</t>
  </si>
  <si>
    <t>Crossroads Regatta</t>
  </si>
  <si>
    <t>SNA Regatta</t>
  </si>
  <si>
    <t>members</t>
  </si>
  <si>
    <t>Proposed</t>
  </si>
  <si>
    <t xml:space="preserve">   Other-Challenge Coins</t>
  </si>
  <si>
    <t xml:space="preserve">   Other - Challenge Coins</t>
  </si>
  <si>
    <t>Pizza</t>
  </si>
  <si>
    <t>Misc./flowers</t>
  </si>
  <si>
    <t xml:space="preserve">   Other//Flowers</t>
  </si>
  <si>
    <t xml:space="preserve">   Other Inc. Wreaths</t>
  </si>
  <si>
    <t xml:space="preserve">   Winslow Cup Awards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</si>
</sst>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(* #,##0.00_);_(* \(#,##0.00\);_(* \-??_);_(@_)"/>
    <numFmt numFmtId="165" formatCode="_(\$* #,##0.00_);_(\$* \(#,##0.00\);_(\$* \-??_);_(@_)"/>
    <numFmt numFmtId="166" formatCode="\$#,##0"/>
    <numFmt numFmtId="167" formatCode="#,##0.000"/>
    <numFmt numFmtId="168" formatCode="_(* #,##0_);_(* \(#,##0\);_(* \-??_);_(@_)"/>
    <numFmt numFmtId="169" formatCode="[$$-409]#,##0.00;[Red]\-[$$-409]#,##0.00"/>
    <numFmt numFmtId="170" formatCode="\$#,##0.00"/>
    <numFmt numFmtId="171" formatCode="&quot;$&quot;#,##0"/>
    <numFmt numFmtId="172" formatCode="[$$-409]#,##0_);[Red]\([$$-409]#,##0\)"/>
    <numFmt numFmtId="173" formatCode="&quot;$&quot;#,##0.00"/>
  </numFmts>
  <fonts count="17" x14ac:knownFonts="1">
    <font>
      <sz val="10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1"/>
      <color indexed="60"/>
      <name val="Calibri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2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44"/>
        <bgColor indexed="31"/>
      </patternFill>
    </fill>
    <fill>
      <patternFill patternType="solid">
        <fgColor indexed="57"/>
        <bgColor indexed="21"/>
      </patternFill>
    </fill>
    <fill>
      <patternFill patternType="solid">
        <fgColor indexed="46"/>
        <bgColor indexed="24"/>
      </patternFill>
    </fill>
    <fill>
      <patternFill patternType="solid">
        <fgColor indexed="62"/>
        <bgColor indexed="56"/>
      </patternFill>
    </fill>
    <fill>
      <patternFill patternType="solid">
        <fgColor indexed="11"/>
        <bgColor indexed="49"/>
      </patternFill>
    </fill>
    <fill>
      <patternFill patternType="solid">
        <fgColor indexed="23"/>
        <bgColor indexed="55"/>
      </patternFill>
    </fill>
    <fill>
      <patternFill patternType="solid">
        <fgColor indexed="45"/>
        <bgColor indexed="55"/>
      </patternFill>
    </fill>
    <fill>
      <patternFill patternType="solid">
        <fgColor indexed="29"/>
        <bgColor indexed="45"/>
      </patternFill>
    </fill>
    <fill>
      <patternFill patternType="solid">
        <fgColor indexed="8"/>
        <bgColor indexed="58"/>
      </patternFill>
    </fill>
    <fill>
      <patternFill patternType="solid">
        <fgColor indexed="51"/>
        <bgColor indexed="13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3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26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8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/>
      <diagonal/>
    </border>
  </borders>
  <cellStyleXfs count="7">
    <xf numFmtId="0" fontId="0" fillId="0" borderId="0"/>
    <xf numFmtId="164" fontId="8" fillId="0" borderId="0" applyFill="0" applyBorder="0" applyAlignment="0" applyProtection="0"/>
    <xf numFmtId="165" fontId="8" fillId="0" borderId="0" applyFill="0" applyBorder="0" applyAlignment="0" applyProtection="0"/>
    <xf numFmtId="165" fontId="8" fillId="0" borderId="0" applyFill="0" applyBorder="0" applyAlignment="0" applyProtection="0"/>
    <xf numFmtId="165" fontId="8" fillId="0" borderId="0" applyFill="0" applyBorder="0" applyAlignment="0" applyProtection="0"/>
    <xf numFmtId="0" fontId="7" fillId="0" borderId="0"/>
    <xf numFmtId="0" fontId="3" fillId="2" borderId="0" applyNumberFormat="0" applyBorder="0" applyAlignment="0" applyProtection="0"/>
  </cellStyleXfs>
  <cellXfs count="273">
    <xf numFmtId="0" fontId="0" fillId="0" borderId="0" xfId="0"/>
    <xf numFmtId="0" fontId="1" fillId="0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6" applyNumberFormat="1" applyFont="1" applyFill="1" applyBorder="1" applyAlignment="1" applyProtection="1">
      <alignment horizontal="center"/>
    </xf>
    <xf numFmtId="0" fontId="2" fillId="3" borderId="4" xfId="6" applyNumberFormat="1" applyFont="1" applyFill="1" applyBorder="1" applyAlignment="1" applyProtection="1">
      <alignment horizontal="center"/>
    </xf>
    <xf numFmtId="0" fontId="2" fillId="3" borderId="3" xfId="6" applyNumberFormat="1" applyFont="1" applyFill="1" applyBorder="1" applyAlignment="1" applyProtection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2" borderId="1" xfId="6" applyNumberFormat="1" applyFont="1" applyBorder="1" applyAlignment="1" applyProtection="1">
      <alignment horizontal="center"/>
    </xf>
    <xf numFmtId="0" fontId="1" fillId="0" borderId="0" xfId="0" applyFont="1"/>
    <xf numFmtId="0" fontId="1" fillId="0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3" borderId="5" xfId="6" applyNumberFormat="1" applyFont="1" applyFill="1" applyBorder="1" applyAlignment="1" applyProtection="1">
      <alignment horizontal="center"/>
    </xf>
    <xf numFmtId="0" fontId="2" fillId="3" borderId="0" xfId="6" applyNumberFormat="1" applyFont="1" applyFill="1" applyBorder="1" applyAlignment="1" applyProtection="1">
      <alignment horizontal="center"/>
    </xf>
    <xf numFmtId="0" fontId="2" fillId="3" borderId="6" xfId="6" applyNumberFormat="1" applyFont="1" applyFill="1" applyBorder="1" applyAlignment="1" applyProtection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3" borderId="0" xfId="0" applyFont="1" applyFill="1"/>
    <xf numFmtId="0" fontId="0" fillId="3" borderId="0" xfId="0" applyFill="1" applyAlignment="1">
      <alignment horizontal="center"/>
    </xf>
    <xf numFmtId="165" fontId="0" fillId="3" borderId="0" xfId="0" applyNumberFormat="1" applyFill="1"/>
    <xf numFmtId="165" fontId="0" fillId="3" borderId="6" xfId="2" applyFont="1" applyFill="1" applyBorder="1" applyAlignment="1" applyProtection="1"/>
    <xf numFmtId="165" fontId="0" fillId="0" borderId="0" xfId="0" applyNumberFormat="1" applyFill="1"/>
    <xf numFmtId="165" fontId="0" fillId="0" borderId="6" xfId="2" applyFont="1" applyFill="1" applyBorder="1" applyAlignment="1" applyProtection="1"/>
    <xf numFmtId="165" fontId="0" fillId="2" borderId="5" xfId="2" applyFont="1" applyFill="1" applyBorder="1" applyAlignment="1" applyProtection="1"/>
    <xf numFmtId="165" fontId="0" fillId="2" borderId="6" xfId="2" applyFont="1" applyFill="1" applyBorder="1" applyAlignment="1" applyProtection="1"/>
    <xf numFmtId="165" fontId="0" fillId="2" borderId="0" xfId="0" applyNumberFormat="1" applyFill="1"/>
    <xf numFmtId="165" fontId="0" fillId="3" borderId="5" xfId="2" applyFont="1" applyFill="1" applyBorder="1" applyAlignment="1" applyProtection="1"/>
    <xf numFmtId="165" fontId="0" fillId="4" borderId="5" xfId="2" applyFont="1" applyFill="1" applyBorder="1" applyAlignment="1" applyProtection="1"/>
    <xf numFmtId="165" fontId="0" fillId="4" borderId="6" xfId="2" applyFont="1" applyFill="1" applyBorder="1" applyAlignment="1" applyProtection="1"/>
    <xf numFmtId="165" fontId="0" fillId="3" borderId="0" xfId="2" applyFont="1" applyFill="1" applyBorder="1" applyAlignment="1" applyProtection="1"/>
    <xf numFmtId="0" fontId="0" fillId="3" borderId="0" xfId="0" applyFont="1" applyFill="1" applyAlignment="1">
      <alignment horizontal="left" indent="1"/>
    </xf>
    <xf numFmtId="0" fontId="0" fillId="5" borderId="0" xfId="0" applyFont="1" applyFill="1" applyAlignment="1">
      <alignment horizontal="center"/>
    </xf>
    <xf numFmtId="0" fontId="0" fillId="6" borderId="0" xfId="0" applyFont="1" applyFill="1" applyAlignment="1">
      <alignment horizontal="center"/>
    </xf>
    <xf numFmtId="0" fontId="0" fillId="7" borderId="0" xfId="0" applyFont="1" applyFill="1" applyAlignment="1">
      <alignment horizontal="center"/>
    </xf>
    <xf numFmtId="4" fontId="0" fillId="0" borderId="0" xfId="0" applyNumberFormat="1"/>
    <xf numFmtId="0" fontId="0" fillId="8" borderId="0" xfId="0" applyFont="1" applyFill="1" applyAlignment="1">
      <alignment horizontal="center"/>
    </xf>
    <xf numFmtId="0" fontId="0" fillId="9" borderId="0" xfId="0" applyFont="1" applyFill="1" applyAlignment="1">
      <alignment horizontal="center"/>
    </xf>
    <xf numFmtId="0" fontId="0" fillId="10" borderId="0" xfId="0" applyFont="1" applyFill="1" applyAlignment="1">
      <alignment horizontal="center"/>
    </xf>
    <xf numFmtId="0" fontId="4" fillId="11" borderId="0" xfId="0" applyFont="1" applyFill="1" applyAlignment="1">
      <alignment horizontal="center"/>
    </xf>
    <xf numFmtId="0" fontId="5" fillId="12" borderId="0" xfId="0" applyFont="1" applyFill="1" applyAlignment="1">
      <alignment horizontal="center"/>
    </xf>
    <xf numFmtId="0" fontId="0" fillId="13" borderId="0" xfId="0" applyFont="1" applyFill="1" applyAlignment="1">
      <alignment horizontal="center"/>
    </xf>
    <xf numFmtId="0" fontId="4" fillId="14" borderId="0" xfId="0" applyFont="1" applyFill="1" applyAlignment="1">
      <alignment horizontal="center"/>
    </xf>
    <xf numFmtId="165" fontId="0" fillId="3" borderId="7" xfId="2" applyFont="1" applyFill="1" applyBorder="1" applyAlignment="1" applyProtection="1"/>
    <xf numFmtId="165" fontId="0" fillId="0" borderId="7" xfId="2" applyFont="1" applyFill="1" applyBorder="1" applyAlignment="1" applyProtection="1"/>
    <xf numFmtId="165" fontId="0" fillId="2" borderId="7" xfId="2" applyFont="1" applyFill="1" applyBorder="1" applyAlignment="1" applyProtection="1"/>
    <xf numFmtId="165" fontId="0" fillId="3" borderId="8" xfId="2" applyFont="1" applyFill="1" applyBorder="1" applyAlignment="1" applyProtection="1"/>
    <xf numFmtId="165" fontId="0" fillId="4" borderId="7" xfId="2" applyFont="1" applyFill="1" applyBorder="1" applyAlignment="1" applyProtection="1"/>
    <xf numFmtId="0" fontId="1" fillId="3" borderId="9" xfId="0" applyFont="1" applyFill="1" applyBorder="1"/>
    <xf numFmtId="0" fontId="0" fillId="3" borderId="10" xfId="0" applyFill="1" applyBorder="1"/>
    <xf numFmtId="0" fontId="0" fillId="3" borderId="10" xfId="0" applyFill="1" applyBorder="1" applyAlignment="1">
      <alignment horizontal="center"/>
    </xf>
    <xf numFmtId="165" fontId="0" fillId="3" borderId="10" xfId="2" applyFont="1" applyFill="1" applyBorder="1" applyAlignment="1" applyProtection="1"/>
    <xf numFmtId="0" fontId="0" fillId="0" borderId="10" xfId="0" applyFill="1" applyBorder="1"/>
    <xf numFmtId="165" fontId="0" fillId="0" borderId="10" xfId="2" applyFont="1" applyFill="1" applyBorder="1" applyAlignment="1" applyProtection="1"/>
    <xf numFmtId="165" fontId="0" fillId="0" borderId="11" xfId="2" applyFont="1" applyFill="1" applyBorder="1" applyAlignment="1" applyProtection="1"/>
    <xf numFmtId="165" fontId="0" fillId="2" borderId="9" xfId="2" applyFont="1" applyFill="1" applyBorder="1" applyAlignment="1" applyProtection="1"/>
    <xf numFmtId="165" fontId="0" fillId="2" borderId="11" xfId="2" applyFont="1" applyFill="1" applyBorder="1" applyAlignment="1" applyProtection="1"/>
    <xf numFmtId="0" fontId="0" fillId="2" borderId="10" xfId="0" applyFill="1" applyBorder="1"/>
    <xf numFmtId="165" fontId="0" fillId="3" borderId="9" xfId="2" applyFont="1" applyFill="1" applyBorder="1" applyAlignment="1" applyProtection="1"/>
    <xf numFmtId="165" fontId="0" fillId="3" borderId="11" xfId="2" applyFont="1" applyFill="1" applyBorder="1" applyAlignment="1" applyProtection="1"/>
    <xf numFmtId="0" fontId="0" fillId="10" borderId="0" xfId="0" applyFont="1" applyFill="1"/>
    <xf numFmtId="0" fontId="0" fillId="10" borderId="0" xfId="0" applyFill="1" applyAlignment="1">
      <alignment horizontal="center"/>
    </xf>
    <xf numFmtId="0" fontId="0" fillId="0" borderId="0" xfId="0" applyFill="1"/>
    <xf numFmtId="165" fontId="0" fillId="0" borderId="3" xfId="2" applyFont="1" applyFill="1" applyBorder="1" applyAlignment="1" applyProtection="1"/>
    <xf numFmtId="0" fontId="0" fillId="2" borderId="0" xfId="0" applyFill="1"/>
    <xf numFmtId="165" fontId="0" fillId="2" borderId="3" xfId="2" applyFont="1" applyFill="1" applyBorder="1" applyAlignment="1" applyProtection="1"/>
    <xf numFmtId="165" fontId="0" fillId="3" borderId="3" xfId="2" applyFont="1" applyFill="1" applyBorder="1" applyAlignment="1" applyProtection="1"/>
    <xf numFmtId="165" fontId="0" fillId="3" borderId="2" xfId="2" applyFont="1" applyFill="1" applyBorder="1" applyAlignment="1" applyProtection="1"/>
    <xf numFmtId="165" fontId="0" fillId="10" borderId="5" xfId="2" applyFont="1" applyFill="1" applyBorder="1" applyAlignment="1" applyProtection="1"/>
    <xf numFmtId="165" fontId="0" fillId="10" borderId="6" xfId="2" applyFont="1" applyFill="1" applyBorder="1" applyAlignment="1" applyProtection="1"/>
    <xf numFmtId="165" fontId="0" fillId="2" borderId="0" xfId="2" applyFont="1" applyFill="1" applyBorder="1" applyAlignment="1" applyProtection="1"/>
    <xf numFmtId="0" fontId="0" fillId="10" borderId="12" xfId="0" applyFont="1" applyFill="1" applyBorder="1" applyAlignment="1">
      <alignment horizontal="center"/>
    </xf>
    <xf numFmtId="0" fontId="0" fillId="12" borderId="0" xfId="0" applyFont="1" applyFill="1" applyAlignment="1">
      <alignment horizontal="center"/>
    </xf>
    <xf numFmtId="0" fontId="1" fillId="10" borderId="9" xfId="0" applyFont="1" applyFill="1" applyBorder="1"/>
    <xf numFmtId="0" fontId="0" fillId="10" borderId="10" xfId="0" applyFill="1" applyBorder="1"/>
    <xf numFmtId="165" fontId="0" fillId="2" borderId="10" xfId="2" applyFont="1" applyFill="1" applyBorder="1" applyAlignment="1" applyProtection="1"/>
    <xf numFmtId="165" fontId="0" fillId="10" borderId="9" xfId="2" applyFont="1" applyFill="1" applyBorder="1" applyAlignment="1" applyProtection="1"/>
    <xf numFmtId="165" fontId="0" fillId="10" borderId="10" xfId="2" applyFont="1" applyFill="1" applyBorder="1" applyAlignment="1" applyProtection="1"/>
    <xf numFmtId="165" fontId="0" fillId="10" borderId="11" xfId="2" applyFont="1" applyFill="1" applyBorder="1" applyAlignment="1" applyProtection="1"/>
    <xf numFmtId="0" fontId="1" fillId="0" borderId="9" xfId="0" applyFont="1" applyFill="1" applyBorder="1"/>
    <xf numFmtId="165" fontId="0" fillId="0" borderId="9" xfId="2" applyFont="1" applyFill="1" applyBorder="1" applyAlignment="1" applyProtection="1"/>
    <xf numFmtId="165" fontId="0" fillId="3" borderId="4" xfId="2" applyFont="1" applyFill="1" applyBorder="1" applyAlignment="1" applyProtection="1"/>
    <xf numFmtId="165" fontId="0" fillId="0" borderId="0" xfId="0" applyNumberFormat="1"/>
    <xf numFmtId="166" fontId="0" fillId="0" borderId="0" xfId="0" applyNumberFormat="1" applyFill="1" applyBorder="1"/>
    <xf numFmtId="166" fontId="1" fillId="0" borderId="0" xfId="0" applyNumberFormat="1" applyFont="1" applyFill="1" applyBorder="1" applyAlignment="1">
      <alignment horizontal="center"/>
    </xf>
    <xf numFmtId="166" fontId="2" fillId="0" borderId="0" xfId="6" applyNumberFormat="1" applyFont="1" applyFill="1" applyBorder="1" applyAlignment="1" applyProtection="1">
      <alignment horizontal="center"/>
    </xf>
    <xf numFmtId="166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horizontal="center"/>
    </xf>
    <xf numFmtId="0" fontId="2" fillId="0" borderId="0" xfId="6" applyNumberFormat="1" applyFont="1" applyFill="1" applyBorder="1" applyAlignment="1" applyProtection="1">
      <alignment horizontal="center"/>
    </xf>
    <xf numFmtId="166" fontId="0" fillId="3" borderId="0" xfId="0" applyNumberFormat="1" applyFont="1" applyFill="1" applyBorder="1"/>
    <xf numFmtId="166" fontId="0" fillId="0" borderId="0" xfId="0" applyNumberFormat="1" applyBorder="1"/>
    <xf numFmtId="167" fontId="0" fillId="0" borderId="0" xfId="0" applyNumberFormat="1" applyBorder="1"/>
    <xf numFmtId="166" fontId="0" fillId="0" borderId="0" xfId="0" applyNumberFormat="1" applyFont="1" applyFill="1" applyBorder="1"/>
    <xf numFmtId="168" fontId="0" fillId="0" borderId="0" xfId="1" applyNumberFormat="1" applyFont="1" applyFill="1" applyBorder="1" applyAlignment="1" applyProtection="1"/>
    <xf numFmtId="166" fontId="0" fillId="3" borderId="0" xfId="3" applyNumberFormat="1" applyFont="1" applyFill="1" applyBorder="1" applyAlignment="1" applyProtection="1"/>
    <xf numFmtId="166" fontId="0" fillId="0" borderId="0" xfId="3" applyNumberFormat="1" applyFont="1" applyFill="1" applyBorder="1" applyAlignment="1" applyProtection="1"/>
    <xf numFmtId="169" fontId="0" fillId="0" borderId="0" xfId="3" applyNumberFormat="1" applyFont="1" applyFill="1" applyBorder="1" applyAlignment="1" applyProtection="1"/>
    <xf numFmtId="166" fontId="1" fillId="3" borderId="0" xfId="0" applyNumberFormat="1" applyFont="1" applyFill="1" applyBorder="1"/>
    <xf numFmtId="0" fontId="2" fillId="0" borderId="3" xfId="6" applyNumberFormat="1" applyFont="1" applyFill="1" applyBorder="1" applyAlignment="1" applyProtection="1">
      <alignment horizontal="center"/>
    </xf>
    <xf numFmtId="0" fontId="2" fillId="0" borderId="1" xfId="6" applyNumberFormat="1" applyFont="1" applyFill="1" applyBorder="1" applyAlignment="1" applyProtection="1">
      <alignment horizontal="center"/>
    </xf>
    <xf numFmtId="0" fontId="1" fillId="0" borderId="0" xfId="0" applyFont="1" applyFill="1"/>
    <xf numFmtId="0" fontId="2" fillId="0" borderId="6" xfId="6" applyNumberFormat="1" applyFont="1" applyFill="1" applyBorder="1" applyAlignment="1" applyProtection="1">
      <alignment horizontal="center"/>
    </xf>
    <xf numFmtId="0" fontId="0" fillId="2" borderId="0" xfId="0" applyFont="1" applyFill="1" applyAlignment="1">
      <alignment horizontal="left" indent="1"/>
    </xf>
    <xf numFmtId="165" fontId="0" fillId="0" borderId="6" xfId="3" applyFont="1" applyFill="1" applyBorder="1" applyAlignment="1" applyProtection="1"/>
    <xf numFmtId="165" fontId="0" fillId="0" borderId="0" xfId="3" applyFont="1" applyFill="1" applyBorder="1" applyAlignment="1" applyProtection="1"/>
    <xf numFmtId="0" fontId="1" fillId="2" borderId="0" xfId="0" applyFont="1" applyFill="1"/>
    <xf numFmtId="166" fontId="1" fillId="0" borderId="3" xfId="0" applyNumberFormat="1" applyFont="1" applyFill="1" applyBorder="1" applyAlignment="1">
      <alignment horizontal="center"/>
    </xf>
    <xf numFmtId="166" fontId="2" fillId="0" borderId="3" xfId="6" applyNumberFormat="1" applyFont="1" applyFill="1" applyBorder="1" applyAlignment="1" applyProtection="1">
      <alignment horizontal="center"/>
    </xf>
    <xf numFmtId="166" fontId="0" fillId="0" borderId="0" xfId="0" applyNumberFormat="1" applyFill="1"/>
    <xf numFmtId="166" fontId="1" fillId="0" borderId="0" xfId="0" applyNumberFormat="1" applyFont="1" applyFill="1"/>
    <xf numFmtId="0" fontId="1" fillId="0" borderId="6" xfId="0" applyNumberFormat="1" applyFont="1" applyFill="1" applyBorder="1" applyAlignment="1">
      <alignment horizontal="center"/>
    </xf>
    <xf numFmtId="169" fontId="0" fillId="0" borderId="6" xfId="3" applyNumberFormat="1" applyFont="1" applyFill="1" applyBorder="1" applyAlignment="1" applyProtection="1"/>
    <xf numFmtId="166" fontId="0" fillId="0" borderId="6" xfId="3" applyNumberFormat="1" applyFont="1" applyFill="1" applyBorder="1" applyAlignment="1" applyProtection="1"/>
    <xf numFmtId="169" fontId="0" fillId="0" borderId="0" xfId="0" applyNumberFormat="1" applyFill="1"/>
    <xf numFmtId="166" fontId="0" fillId="0" borderId="0" xfId="0" applyNumberFormat="1" applyFont="1" applyFill="1" applyAlignment="1">
      <alignment horizontal="left"/>
    </xf>
    <xf numFmtId="170" fontId="0" fillId="0" borderId="0" xfId="0" applyNumberFormat="1"/>
    <xf numFmtId="0" fontId="0" fillId="0" borderId="0" xfId="0" applyFont="1" applyAlignment="1">
      <alignment horizontal="left"/>
    </xf>
    <xf numFmtId="170" fontId="0" fillId="0" borderId="13" xfId="0" applyNumberFormat="1" applyBorder="1"/>
    <xf numFmtId="0" fontId="0" fillId="0" borderId="0" xfId="0" applyFont="1" applyAlignment="1">
      <alignment horizontal="right"/>
    </xf>
    <xf numFmtId="169" fontId="0" fillId="5" borderId="0" xfId="3" applyNumberFormat="1" applyFont="1" applyFill="1" applyBorder="1" applyAlignment="1" applyProtection="1"/>
    <xf numFmtId="166" fontId="0" fillId="15" borderId="0" xfId="0" applyNumberFormat="1" applyFont="1" applyFill="1" applyBorder="1"/>
    <xf numFmtId="169" fontId="0" fillId="5" borderId="0" xfId="4" applyNumberFormat="1" applyFont="1" applyFill="1" applyBorder="1" applyAlignment="1" applyProtection="1"/>
    <xf numFmtId="0" fontId="0" fillId="0" borderId="0" xfId="0" applyFont="1"/>
    <xf numFmtId="0" fontId="7" fillId="0" borderId="0" xfId="5" applyFont="1"/>
    <xf numFmtId="166" fontId="0" fillId="0" borderId="0" xfId="0" applyNumberFormat="1"/>
    <xf numFmtId="0" fontId="7" fillId="0" borderId="0" xfId="5" applyFont="1" applyAlignment="1">
      <alignment horizontal="left" indent="1"/>
    </xf>
    <xf numFmtId="169" fontId="0" fillId="0" borderId="14" xfId="3" applyNumberFormat="1" applyFont="1" applyFill="1" applyBorder="1" applyAlignment="1" applyProtection="1"/>
    <xf numFmtId="165" fontId="0" fillId="0" borderId="0" xfId="2" applyFont="1" applyFill="1" applyBorder="1" applyAlignment="1" applyProtection="1"/>
    <xf numFmtId="165" fontId="0" fillId="3" borderId="15" xfId="2" applyFont="1" applyFill="1" applyBorder="1" applyAlignment="1" applyProtection="1"/>
    <xf numFmtId="165" fontId="0" fillId="2" borderId="15" xfId="2" applyFont="1" applyFill="1" applyBorder="1" applyAlignment="1" applyProtection="1"/>
    <xf numFmtId="165" fontId="0" fillId="0" borderId="15" xfId="2" applyFont="1" applyFill="1" applyBorder="1" applyAlignment="1" applyProtection="1"/>
    <xf numFmtId="0" fontId="0" fillId="3" borderId="16" xfId="0" applyFont="1" applyFill="1" applyBorder="1"/>
    <xf numFmtId="165" fontId="0" fillId="3" borderId="17" xfId="2" applyFont="1" applyFill="1" applyBorder="1" applyAlignment="1" applyProtection="1"/>
    <xf numFmtId="170" fontId="0" fillId="0" borderId="0" xfId="0" applyNumberFormat="1" applyBorder="1"/>
    <xf numFmtId="0" fontId="1" fillId="16" borderId="0" xfId="0" applyFont="1" applyFill="1"/>
    <xf numFmtId="0" fontId="0" fillId="16" borderId="0" xfId="0" applyFill="1"/>
    <xf numFmtId="43" fontId="0" fillId="0" borderId="0" xfId="0" applyNumberFormat="1" applyFill="1"/>
    <xf numFmtId="43" fontId="0" fillId="0" borderId="0" xfId="0" applyNumberFormat="1"/>
    <xf numFmtId="0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166" fontId="0" fillId="0" borderId="0" xfId="0" applyNumberFormat="1" applyFill="1" applyAlignment="1">
      <alignment horizontal="left"/>
    </xf>
    <xf numFmtId="166" fontId="0" fillId="17" borderId="0" xfId="0" applyNumberFormat="1" applyFill="1" applyBorder="1"/>
    <xf numFmtId="0" fontId="0" fillId="17" borderId="0" xfId="0" applyNumberFormat="1" applyFill="1" applyBorder="1" applyAlignment="1">
      <alignment horizontal="center"/>
    </xf>
    <xf numFmtId="169" fontId="0" fillId="17" borderId="0" xfId="3" applyNumberFormat="1" applyFont="1" applyFill="1" applyBorder="1" applyAlignment="1" applyProtection="1"/>
    <xf numFmtId="169" fontId="0" fillId="17" borderId="6" xfId="2" applyNumberFormat="1" applyFont="1" applyFill="1" applyBorder="1" applyAlignment="1" applyProtection="1"/>
    <xf numFmtId="0" fontId="0" fillId="17" borderId="0" xfId="0" applyFill="1"/>
    <xf numFmtId="169" fontId="0" fillId="17" borderId="0" xfId="2" applyNumberFormat="1" applyFont="1" applyFill="1" applyBorder="1" applyAlignment="1" applyProtection="1"/>
    <xf numFmtId="0" fontId="0" fillId="17" borderId="0" xfId="0" applyFill="1" applyAlignment="1">
      <alignment horizontal="center"/>
    </xf>
    <xf numFmtId="165" fontId="0" fillId="17" borderId="6" xfId="3" applyFont="1" applyFill="1" applyBorder="1" applyAlignment="1" applyProtection="1"/>
    <xf numFmtId="165" fontId="0" fillId="17" borderId="0" xfId="3" applyFont="1" applyFill="1" applyBorder="1" applyAlignment="1" applyProtection="1"/>
    <xf numFmtId="169" fontId="8" fillId="17" borderId="0" xfId="3" applyNumberFormat="1" applyFont="1" applyFill="1" applyBorder="1" applyAlignment="1" applyProtection="1"/>
    <xf numFmtId="169" fontId="0" fillId="17" borderId="0" xfId="4" applyNumberFormat="1" applyFont="1" applyFill="1" applyBorder="1" applyAlignment="1" applyProtection="1"/>
    <xf numFmtId="166" fontId="8" fillId="17" borderId="0" xfId="0" applyNumberFormat="1" applyFont="1" applyFill="1" applyBorder="1"/>
    <xf numFmtId="0" fontId="8" fillId="17" borderId="0" xfId="0" applyNumberFormat="1" applyFont="1" applyFill="1" applyBorder="1" applyAlignment="1">
      <alignment horizontal="center"/>
    </xf>
    <xf numFmtId="169" fontId="8" fillId="17" borderId="6" xfId="2" applyNumberFormat="1" applyFont="1" applyFill="1" applyBorder="1" applyAlignment="1" applyProtection="1"/>
    <xf numFmtId="169" fontId="8" fillId="5" borderId="0" xfId="3" applyNumberFormat="1" applyFont="1" applyFill="1" applyBorder="1" applyAlignment="1" applyProtection="1"/>
    <xf numFmtId="0" fontId="8" fillId="17" borderId="0" xfId="0" applyFont="1" applyFill="1"/>
    <xf numFmtId="0" fontId="0" fillId="18" borderId="0" xfId="0" applyFill="1"/>
    <xf numFmtId="169" fontId="8" fillId="17" borderId="0" xfId="2" applyNumberFormat="1" applyFont="1" applyFill="1" applyBorder="1" applyAlignment="1" applyProtection="1"/>
    <xf numFmtId="0" fontId="0" fillId="17" borderId="0" xfId="0" applyFill="1" applyBorder="1"/>
    <xf numFmtId="166" fontId="0" fillId="17" borderId="0" xfId="0" applyNumberFormat="1" applyFill="1" applyBorder="1" applyAlignment="1">
      <alignment horizontal="left"/>
    </xf>
    <xf numFmtId="166" fontId="8" fillId="17" borderId="0" xfId="0" applyNumberFormat="1" applyFont="1" applyFill="1" applyBorder="1" applyAlignment="1">
      <alignment horizontal="left"/>
    </xf>
    <xf numFmtId="166" fontId="0" fillId="17" borderId="18" xfId="0" applyNumberFormat="1" applyFill="1" applyBorder="1" applyAlignment="1">
      <alignment horizontal="left"/>
    </xf>
    <xf numFmtId="166" fontId="0" fillId="17" borderId="18" xfId="0" applyNumberFormat="1" applyFill="1" applyBorder="1"/>
    <xf numFmtId="0" fontId="0" fillId="17" borderId="18" xfId="0" applyNumberFormat="1" applyFill="1" applyBorder="1" applyAlignment="1">
      <alignment horizontal="center"/>
    </xf>
    <xf numFmtId="169" fontId="0" fillId="17" borderId="18" xfId="3" applyNumberFormat="1" applyFont="1" applyFill="1" applyBorder="1" applyAlignment="1" applyProtection="1"/>
    <xf numFmtId="169" fontId="0" fillId="17" borderId="19" xfId="2" applyNumberFormat="1" applyFont="1" applyFill="1" applyBorder="1" applyAlignment="1" applyProtection="1"/>
    <xf numFmtId="0" fontId="0" fillId="17" borderId="18" xfId="0" applyFill="1" applyBorder="1"/>
    <xf numFmtId="165" fontId="8" fillId="0" borderId="6" xfId="3" applyFont="1" applyFill="1" applyBorder="1" applyAlignment="1" applyProtection="1"/>
    <xf numFmtId="0" fontId="8" fillId="18" borderId="0" xfId="0" applyFont="1" applyFill="1"/>
    <xf numFmtId="0" fontId="8" fillId="17" borderId="0" xfId="0" applyFont="1" applyFill="1" applyAlignment="1">
      <alignment horizontal="center"/>
    </xf>
    <xf numFmtId="165" fontId="8" fillId="17" borderId="6" xfId="3" applyFont="1" applyFill="1" applyBorder="1" applyAlignment="1" applyProtection="1"/>
    <xf numFmtId="165" fontId="8" fillId="17" borderId="0" xfId="3" applyFont="1" applyFill="1" applyBorder="1" applyAlignment="1" applyProtection="1"/>
    <xf numFmtId="169" fontId="0" fillId="5" borderId="18" xfId="3" applyNumberFormat="1" applyFont="1" applyFill="1" applyBorder="1" applyAlignment="1" applyProtection="1"/>
    <xf numFmtId="0" fontId="0" fillId="0" borderId="18" xfId="0" applyBorder="1"/>
    <xf numFmtId="0" fontId="0" fillId="18" borderId="0" xfId="0" applyFont="1" applyFill="1" applyAlignment="1">
      <alignment horizontal="left" indent="1"/>
    </xf>
    <xf numFmtId="0" fontId="0" fillId="0" borderId="18" xfId="0" applyBorder="1" applyAlignment="1">
      <alignment horizontal="center"/>
    </xf>
    <xf numFmtId="0" fontId="0" fillId="0" borderId="18" xfId="0" applyFill="1" applyBorder="1"/>
    <xf numFmtId="166" fontId="0" fillId="17" borderId="0" xfId="0" applyNumberFormat="1" applyFill="1"/>
    <xf numFmtId="0" fontId="0" fillId="17" borderId="0" xfId="0" applyNumberFormat="1" applyFill="1" applyAlignment="1">
      <alignment horizontal="center"/>
    </xf>
    <xf numFmtId="165" fontId="0" fillId="17" borderId="0" xfId="0" applyNumberFormat="1" applyFill="1"/>
    <xf numFmtId="165" fontId="1" fillId="17" borderId="0" xfId="0" applyNumberFormat="1" applyFont="1" applyFill="1"/>
    <xf numFmtId="0" fontId="0" fillId="2" borderId="18" xfId="0" applyFill="1" applyBorder="1"/>
    <xf numFmtId="0" fontId="0" fillId="0" borderId="18" xfId="0" applyFill="1" applyBorder="1" applyAlignment="1">
      <alignment horizontal="center"/>
    </xf>
    <xf numFmtId="165" fontId="0" fillId="0" borderId="19" xfId="3" applyFont="1" applyFill="1" applyBorder="1" applyAlignment="1" applyProtection="1"/>
    <xf numFmtId="165" fontId="0" fillId="0" borderId="18" xfId="3" applyFont="1" applyFill="1" applyBorder="1" applyAlignment="1" applyProtection="1"/>
    <xf numFmtId="166" fontId="0" fillId="19" borderId="0" xfId="0" applyNumberFormat="1" applyFill="1"/>
    <xf numFmtId="0" fontId="0" fillId="19" borderId="0" xfId="0" applyNumberFormat="1" applyFill="1" applyAlignment="1">
      <alignment horizontal="center"/>
    </xf>
    <xf numFmtId="166" fontId="8" fillId="19" borderId="6" xfId="3" applyNumberFormat="1" applyFont="1" applyFill="1" applyBorder="1" applyAlignment="1" applyProtection="1"/>
    <xf numFmtId="0" fontId="0" fillId="19" borderId="0" xfId="0" applyFill="1"/>
    <xf numFmtId="166" fontId="8" fillId="20" borderId="6" xfId="3" applyNumberFormat="1" applyFont="1" applyFill="1" applyBorder="1" applyAlignment="1" applyProtection="1"/>
    <xf numFmtId="166" fontId="0" fillId="19" borderId="18" xfId="0" applyNumberFormat="1" applyFill="1" applyBorder="1"/>
    <xf numFmtId="0" fontId="0" fillId="19" borderId="18" xfId="0" applyNumberFormat="1" applyFill="1" applyBorder="1" applyAlignment="1">
      <alignment horizontal="center"/>
    </xf>
    <xf numFmtId="166" fontId="8" fillId="19" borderId="19" xfId="3" applyNumberFormat="1" applyFont="1" applyFill="1" applyBorder="1" applyAlignment="1" applyProtection="1"/>
    <xf numFmtId="0" fontId="0" fillId="19" borderId="18" xfId="0" applyFill="1" applyBorder="1"/>
    <xf numFmtId="169" fontId="8" fillId="19" borderId="6" xfId="3" applyNumberFormat="1" applyFont="1" applyFill="1" applyBorder="1" applyAlignment="1" applyProtection="1"/>
    <xf numFmtId="166" fontId="8" fillId="19" borderId="0" xfId="3" applyNumberFormat="1" applyFont="1" applyFill="1" applyBorder="1" applyAlignment="1" applyProtection="1"/>
    <xf numFmtId="169" fontId="8" fillId="19" borderId="19" xfId="3" applyNumberFormat="1" applyFont="1" applyFill="1" applyBorder="1" applyAlignment="1" applyProtection="1"/>
    <xf numFmtId="166" fontId="8" fillId="19" borderId="18" xfId="3" applyNumberFormat="1" applyFont="1" applyFill="1" applyBorder="1" applyAlignment="1" applyProtection="1"/>
    <xf numFmtId="0" fontId="0" fillId="19" borderId="20" xfId="0" applyFill="1" applyBorder="1" applyAlignment="1"/>
    <xf numFmtId="169" fontId="0" fillId="19" borderId="0" xfId="0" applyNumberFormat="1" applyFill="1"/>
    <xf numFmtId="169" fontId="8" fillId="20" borderId="7" xfId="3" applyNumberFormat="1" applyFont="1" applyFill="1" applyBorder="1" applyAlignment="1" applyProtection="1"/>
    <xf numFmtId="169" fontId="8" fillId="19" borderId="0" xfId="3" applyNumberFormat="1" applyFont="1" applyFill="1" applyBorder="1" applyAlignment="1" applyProtection="1"/>
    <xf numFmtId="0" fontId="0" fillId="19" borderId="0" xfId="0" applyFill="1" applyAlignment="1">
      <alignment horizontal="center"/>
    </xf>
    <xf numFmtId="0" fontId="0" fillId="19" borderId="20" xfId="0" applyFill="1" applyBorder="1" applyAlignment="1">
      <alignment horizontal="left"/>
    </xf>
    <xf numFmtId="169" fontId="0" fillId="20" borderId="0" xfId="0" applyNumberFormat="1" applyFill="1"/>
    <xf numFmtId="0" fontId="0" fillId="19" borderId="21" xfId="0" applyFill="1" applyBorder="1" applyAlignment="1">
      <alignment horizontal="left"/>
    </xf>
    <xf numFmtId="0" fontId="0" fillId="19" borderId="18" xfId="0" applyFill="1" applyBorder="1" applyAlignment="1">
      <alignment horizontal="center"/>
    </xf>
    <xf numFmtId="169" fontId="0" fillId="19" borderId="18" xfId="0" applyNumberFormat="1" applyFill="1" applyBorder="1"/>
    <xf numFmtId="166" fontId="0" fillId="19" borderId="0" xfId="0" applyNumberFormat="1" applyFill="1" applyBorder="1"/>
    <xf numFmtId="0" fontId="0" fillId="19" borderId="0" xfId="0" applyNumberFormat="1" applyFill="1" applyBorder="1" applyAlignment="1">
      <alignment horizontal="center"/>
    </xf>
    <xf numFmtId="169" fontId="8" fillId="20" borderId="0" xfId="3" applyNumberFormat="1" applyFont="1" applyFill="1" applyBorder="1" applyAlignment="1" applyProtection="1"/>
    <xf numFmtId="169" fontId="8" fillId="19" borderId="18" xfId="3" applyNumberFormat="1" applyFont="1" applyFill="1" applyBorder="1" applyAlignment="1" applyProtection="1"/>
    <xf numFmtId="169" fontId="8" fillId="20" borderId="18" xfId="3" applyNumberFormat="1" applyFont="1" applyFill="1" applyBorder="1" applyAlignment="1" applyProtection="1"/>
    <xf numFmtId="169" fontId="8" fillId="19" borderId="6" xfId="2" applyNumberFormat="1" applyFont="1" applyFill="1" applyBorder="1" applyAlignment="1" applyProtection="1"/>
    <xf numFmtId="169" fontId="8" fillId="19" borderId="7" xfId="2" applyNumberFormat="1" applyFont="1" applyFill="1" applyBorder="1" applyAlignment="1" applyProtection="1"/>
    <xf numFmtId="166" fontId="0" fillId="19" borderId="0" xfId="0" applyNumberFormat="1" applyFill="1" applyBorder="1" applyAlignment="1">
      <alignment horizontal="left"/>
    </xf>
    <xf numFmtId="0" fontId="0" fillId="21" borderId="0" xfId="0" applyFill="1"/>
    <xf numFmtId="165" fontId="8" fillId="19" borderId="6" xfId="3" applyFont="1" applyFill="1" applyBorder="1" applyAlignment="1" applyProtection="1"/>
    <xf numFmtId="166" fontId="1" fillId="0" borderId="0" xfId="0" applyNumberFormat="1" applyFont="1" applyFill="1" applyAlignment="1">
      <alignment horizontal="center"/>
    </xf>
    <xf numFmtId="166" fontId="0" fillId="3" borderId="0" xfId="0" applyNumberFormat="1" applyFont="1" applyFill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8" fontId="0" fillId="0" borderId="0" xfId="1" applyNumberFormat="1" applyFont="1" applyFill="1" applyBorder="1" applyAlignment="1" applyProtection="1">
      <alignment horizontal="center"/>
    </xf>
    <xf numFmtId="166" fontId="0" fillId="3" borderId="0" xfId="3" applyNumberFormat="1" applyFont="1" applyFill="1" applyBorder="1" applyAlignment="1" applyProtection="1">
      <alignment horizontal="center"/>
    </xf>
    <xf numFmtId="166" fontId="0" fillId="0" borderId="0" xfId="0" applyNumberFormat="1" applyFill="1" applyBorder="1" applyAlignment="1">
      <alignment horizontal="center"/>
    </xf>
    <xf numFmtId="169" fontId="0" fillId="0" borderId="0" xfId="0" applyNumberFormat="1" applyFill="1" applyBorder="1" applyAlignment="1">
      <alignment horizontal="center"/>
    </xf>
    <xf numFmtId="166" fontId="0" fillId="0" borderId="0" xfId="3" applyNumberFormat="1" applyFont="1" applyFill="1" applyBorder="1" applyAlignment="1" applyProtection="1">
      <alignment horizontal="center"/>
    </xf>
    <xf numFmtId="0" fontId="0" fillId="0" borderId="0" xfId="3" applyNumberFormat="1" applyFont="1" applyFill="1" applyBorder="1" applyAlignment="1" applyProtection="1">
      <alignment horizontal="center"/>
    </xf>
    <xf numFmtId="169" fontId="0" fillId="0" borderId="0" xfId="3" applyNumberFormat="1" applyFont="1" applyFill="1" applyBorder="1" applyAlignment="1" applyProtection="1">
      <alignment horizontal="center"/>
    </xf>
    <xf numFmtId="4" fontId="0" fillId="0" borderId="0" xfId="3" applyNumberFormat="1" applyFont="1" applyFill="1" applyBorder="1" applyAlignment="1" applyProtection="1">
      <alignment horizontal="center"/>
    </xf>
    <xf numFmtId="4" fontId="0" fillId="0" borderId="0" xfId="0" applyNumberFormat="1" applyFill="1" applyBorder="1" applyAlignment="1">
      <alignment horizontal="center"/>
    </xf>
    <xf numFmtId="171" fontId="0" fillId="0" borderId="0" xfId="0" applyNumberFormat="1"/>
    <xf numFmtId="172" fontId="0" fillId="0" borderId="0" xfId="0" applyNumberFormat="1" applyFill="1"/>
    <xf numFmtId="165" fontId="8" fillId="0" borderId="19" xfId="3" applyFont="1" applyFill="1" applyBorder="1" applyAlignment="1" applyProtection="1"/>
    <xf numFmtId="165" fontId="0" fillId="17" borderId="0" xfId="0" applyNumberFormat="1" applyFont="1" applyFill="1"/>
    <xf numFmtId="169" fontId="8" fillId="17" borderId="0" xfId="4" applyNumberFormat="1" applyFont="1" applyFill="1" applyBorder="1" applyAlignment="1" applyProtection="1"/>
    <xf numFmtId="166" fontId="0" fillId="17" borderId="18" xfId="0" quotePrefix="1" applyNumberFormat="1" applyFill="1" applyBorder="1"/>
    <xf numFmtId="165" fontId="0" fillId="17" borderId="6" xfId="3" applyFont="1" applyFill="1" applyBorder="1" applyAlignment="1" applyProtection="1">
      <alignment horizontal="right"/>
    </xf>
    <xf numFmtId="165" fontId="0" fillId="0" borderId="6" xfId="3" applyFont="1" applyFill="1" applyBorder="1" applyAlignment="1" applyProtection="1">
      <alignment horizontal="right"/>
    </xf>
    <xf numFmtId="165" fontId="8" fillId="19" borderId="6" xfId="3" applyFont="1" applyFill="1" applyBorder="1" applyAlignment="1" applyProtection="1">
      <alignment horizontal="right"/>
    </xf>
    <xf numFmtId="165" fontId="0" fillId="0" borderId="19" xfId="3" applyFont="1" applyFill="1" applyBorder="1" applyAlignment="1" applyProtection="1">
      <alignment horizontal="right"/>
    </xf>
    <xf numFmtId="165" fontId="0" fillId="0" borderId="0" xfId="0" applyNumberFormat="1" applyFill="1" applyAlignment="1">
      <alignment horizontal="right"/>
    </xf>
    <xf numFmtId="169" fontId="0" fillId="19" borderId="0" xfId="0" applyNumberFormat="1" applyFont="1" applyFill="1"/>
    <xf numFmtId="165" fontId="8" fillId="0" borderId="6" xfId="3" applyFont="1" applyFill="1" applyBorder="1" applyAlignment="1" applyProtection="1">
      <alignment horizontal="right"/>
    </xf>
    <xf numFmtId="165" fontId="8" fillId="0" borderId="19" xfId="3" applyFont="1" applyFill="1" applyBorder="1" applyAlignment="1" applyProtection="1">
      <alignment horizontal="right"/>
    </xf>
    <xf numFmtId="166" fontId="0" fillId="19" borderId="0" xfId="0" applyNumberFormat="1" applyFill="1" applyAlignment="1">
      <alignment horizontal="left" vertical="top"/>
    </xf>
    <xf numFmtId="4" fontId="0" fillId="3" borderId="0" xfId="3" applyNumberFormat="1" applyFont="1" applyFill="1" applyBorder="1" applyAlignment="1" applyProtection="1">
      <alignment horizontal="center"/>
    </xf>
    <xf numFmtId="0" fontId="1" fillId="17" borderId="0" xfId="0" quotePrefix="1" applyFont="1" applyFill="1"/>
    <xf numFmtId="37" fontId="0" fillId="17" borderId="0" xfId="0" applyNumberFormat="1" applyFill="1"/>
    <xf numFmtId="173" fontId="0" fillId="17" borderId="0" xfId="0" applyNumberFormat="1" applyFill="1"/>
    <xf numFmtId="173" fontId="0" fillId="0" borderId="0" xfId="0" applyNumberFormat="1"/>
    <xf numFmtId="173" fontId="14" fillId="17" borderId="0" xfId="0" applyNumberFormat="1" applyFont="1" applyFill="1"/>
    <xf numFmtId="37" fontId="14" fillId="17" borderId="0" xfId="0" applyNumberFormat="1" applyFont="1" applyFill="1"/>
    <xf numFmtId="0" fontId="1" fillId="18" borderId="0" xfId="0" applyFont="1" applyFill="1"/>
    <xf numFmtId="0" fontId="1" fillId="0" borderId="0" xfId="0" applyFont="1" applyBorder="1" applyAlignment="1">
      <alignment horizontal="center"/>
    </xf>
    <xf numFmtId="0" fontId="2" fillId="2" borderId="1" xfId="6" applyNumberFormat="1" applyFont="1" applyBorder="1" applyAlignment="1" applyProtection="1">
      <alignment horizontal="center"/>
    </xf>
    <xf numFmtId="166" fontId="1" fillId="0" borderId="0" xfId="0" applyNumberFormat="1" applyFont="1" applyFill="1" applyBorder="1" applyAlignment="1">
      <alignment horizontal="center"/>
    </xf>
    <xf numFmtId="166" fontId="2" fillId="0" borderId="1" xfId="6" applyNumberFormat="1" applyFont="1" applyFill="1" applyBorder="1" applyAlignment="1" applyProtection="1">
      <alignment horizontal="center"/>
    </xf>
    <xf numFmtId="166" fontId="1" fillId="16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1" xfId="6" applyNumberFormat="1" applyFont="1" applyFill="1" applyBorder="1" applyAlignment="1" applyProtection="1">
      <alignment horizontal="center"/>
    </xf>
    <xf numFmtId="166" fontId="2" fillId="0" borderId="0" xfId="6" applyNumberFormat="1" applyFont="1" applyFill="1" applyBorder="1" applyAlignment="1" applyProtection="1">
      <alignment horizontal="center"/>
    </xf>
    <xf numFmtId="165" fontId="0" fillId="22" borderId="0" xfId="0" applyNumberFormat="1" applyFill="1"/>
    <xf numFmtId="169" fontId="8" fillId="22" borderId="0" xfId="3" applyNumberFormat="1" applyFont="1" applyFill="1" applyBorder="1" applyAlignment="1" applyProtection="1"/>
  </cellXfs>
  <cellStyles count="7">
    <cellStyle name="Comma 2" xfId="1" xr:uid="{00000000-0005-0000-0000-000000000000}"/>
    <cellStyle name="Currency" xfId="2" builtinId="4"/>
    <cellStyle name="Currency 2" xfId="3" xr:uid="{00000000-0005-0000-0000-000002000000}"/>
    <cellStyle name="Currency 2 2" xfId="4" xr:uid="{00000000-0005-0000-0000-000003000000}"/>
    <cellStyle name="Excel Built-in Normal" xfId="5" xr:uid="{00000000-0005-0000-0000-000004000000}"/>
    <cellStyle name="Excel_BuiltIn_Neutral 1" xfId="6" xr:uid="{00000000-0005-0000-0000-000005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CC9966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Kim Lyons" id="{620F0871-DDF8-4A70-92C1-BF311C63C37C}" userId="d55d0cbfffc7dc86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3" dT="2021-12-08T00:54:04.86" personId="{620F0871-DDF8-4A70-92C1-BF311C63C37C}" id="{971E51E5-5488-454D-A25C-353BDE4085C5}">
    <text>Mooring $750
Block Island $20
Legal $750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F3" dT="2021-12-08T00:55:31.97" personId="{620F0871-DDF8-4A70-92C1-BF311C63C37C}" id="{2B4224D6-8EB0-4F21-BAFD-D49B657D52AC}">
    <text>Rich asked for an increase to $200</text>
  </threadedComment>
  <threadedComment ref="G3" dT="2021-12-08T00:56:03.55" personId="{620F0871-DDF8-4A70-92C1-BF311C63C37C}" id="{3CCF9323-C41B-470B-BEB4-8167409C3653}">
    <text>Corrected by Rich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Relationship Id="rId4" Type="http://schemas.microsoft.com/office/2017/10/relationships/threadedComment" Target="../threadedComments/threadedComment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153"/>
  <sheetViews>
    <sheetView tabSelected="1" topLeftCell="B1" zoomScaleNormal="100" workbookViewId="0">
      <selection activeCell="G85" sqref="G85"/>
    </sheetView>
  </sheetViews>
  <sheetFormatPr defaultRowHeight="12.75" x14ac:dyDescent="0.2"/>
  <cols>
    <col min="1" max="1" width="30.85546875" customWidth="1"/>
    <col min="2" max="2" width="8.28515625" customWidth="1"/>
    <col min="3" max="3" width="24" customWidth="1"/>
    <col min="4" max="4" width="19.5703125" customWidth="1"/>
    <col min="5" max="5" width="9.140625" hidden="1" customWidth="1"/>
    <col min="6" max="6" width="13.28515625" customWidth="1"/>
    <col min="7" max="11" width="11.140625" customWidth="1"/>
    <col min="12" max="12" width="10.85546875" hidden="1" customWidth="1"/>
    <col min="13" max="13" width="11.140625" customWidth="1"/>
    <col min="14" max="14" width="10.85546875" hidden="1" customWidth="1"/>
    <col min="15" max="15" width="11.140625" customWidth="1"/>
    <col min="16" max="19" width="11.140625" hidden="1" customWidth="1"/>
    <col min="20" max="20" width="10.140625" hidden="1" customWidth="1"/>
    <col min="21" max="21" width="11.140625" hidden="1" customWidth="1"/>
    <col min="22" max="22" width="10.140625" hidden="1" customWidth="1"/>
    <col min="23" max="23" width="11.140625" hidden="1" customWidth="1"/>
    <col min="24" max="25" width="9.140625" hidden="1" customWidth="1"/>
    <col min="26" max="27" width="11" hidden="1" customWidth="1"/>
    <col min="28" max="29" width="9.140625" hidden="1" customWidth="1"/>
    <col min="30" max="31" width="11" hidden="1" customWidth="1"/>
    <col min="32" max="33" width="9.140625" hidden="1" customWidth="1"/>
    <col min="34" max="38" width="11" hidden="1" customWidth="1"/>
    <col min="40" max="40" width="11.85546875" customWidth="1"/>
    <col min="41" max="41" width="44" customWidth="1"/>
    <col min="42" max="42" width="11.28515625" customWidth="1"/>
    <col min="43" max="44" width="10.5703125" customWidth="1"/>
  </cols>
  <sheetData>
    <row r="1" spans="1:38" ht="15" x14ac:dyDescent="0.25">
      <c r="A1" s="263" t="s">
        <v>0</v>
      </c>
      <c r="B1" s="263"/>
      <c r="C1" s="263"/>
      <c r="D1" s="263"/>
      <c r="F1" s="1" t="s">
        <v>1</v>
      </c>
      <c r="G1" s="3" t="s">
        <v>3</v>
      </c>
      <c r="H1" s="3" t="s">
        <v>4</v>
      </c>
      <c r="I1" s="3" t="s">
        <v>4</v>
      </c>
      <c r="J1" s="3" t="s">
        <v>4</v>
      </c>
      <c r="K1" s="3" t="s">
        <v>4</v>
      </c>
      <c r="L1" s="2" t="s">
        <v>2</v>
      </c>
      <c r="M1" s="3" t="s">
        <v>4</v>
      </c>
      <c r="N1" s="2" t="s">
        <v>2</v>
      </c>
      <c r="O1" s="3" t="s">
        <v>4</v>
      </c>
      <c r="P1" s="5" t="s">
        <v>2</v>
      </c>
      <c r="Q1" s="6" t="s">
        <v>3</v>
      </c>
      <c r="R1" s="5" t="s">
        <v>2</v>
      </c>
      <c r="S1" s="6" t="s">
        <v>4</v>
      </c>
      <c r="T1" s="1" t="s">
        <v>2</v>
      </c>
      <c r="U1" s="4" t="s">
        <v>3</v>
      </c>
      <c r="V1" s="1" t="s">
        <v>2</v>
      </c>
      <c r="W1" s="4" t="s">
        <v>4</v>
      </c>
      <c r="X1" s="5" t="s">
        <v>2</v>
      </c>
      <c r="Y1" s="6" t="s">
        <v>3</v>
      </c>
      <c r="Z1" s="5" t="s">
        <v>2</v>
      </c>
      <c r="AA1" s="6" t="s">
        <v>4</v>
      </c>
      <c r="AB1" s="7" t="s">
        <v>2</v>
      </c>
      <c r="AC1" s="8" t="s">
        <v>3</v>
      </c>
      <c r="AD1" s="7" t="s">
        <v>2</v>
      </c>
      <c r="AE1" s="9" t="s">
        <v>4</v>
      </c>
      <c r="AF1" s="10" t="s">
        <v>2</v>
      </c>
      <c r="AG1" s="11" t="s">
        <v>3</v>
      </c>
      <c r="AH1" s="10" t="s">
        <v>2</v>
      </c>
      <c r="AI1" s="11" t="s">
        <v>4</v>
      </c>
      <c r="AJ1" s="264" t="s">
        <v>5</v>
      </c>
      <c r="AK1" s="264"/>
      <c r="AL1" s="264"/>
    </row>
    <row r="2" spans="1:38" ht="15" x14ac:dyDescent="0.25">
      <c r="A2" s="13" t="s">
        <v>6</v>
      </c>
      <c r="B2" s="13" t="s">
        <v>7</v>
      </c>
      <c r="C2" s="13" t="s">
        <v>8</v>
      </c>
      <c r="D2" s="13" t="s">
        <v>9</v>
      </c>
      <c r="E2" t="s">
        <v>10</v>
      </c>
      <c r="F2" s="14" t="s">
        <v>11</v>
      </c>
      <c r="G2" s="16">
        <v>2022</v>
      </c>
      <c r="H2" s="16">
        <v>2021</v>
      </c>
      <c r="I2" s="16">
        <v>2020</v>
      </c>
      <c r="J2" s="16">
        <v>2019</v>
      </c>
      <c r="K2" s="16">
        <v>2018</v>
      </c>
      <c r="L2" s="15" t="s">
        <v>12</v>
      </c>
      <c r="M2" s="16">
        <v>2017</v>
      </c>
      <c r="N2" s="15" t="s">
        <v>12</v>
      </c>
      <c r="O2" s="16">
        <v>2016</v>
      </c>
      <c r="P2" s="18" t="s">
        <v>12</v>
      </c>
      <c r="Q2" s="19">
        <v>2015</v>
      </c>
      <c r="R2" s="18" t="s">
        <v>12</v>
      </c>
      <c r="S2" s="19">
        <v>2015</v>
      </c>
      <c r="T2" s="14" t="s">
        <v>12</v>
      </c>
      <c r="U2" s="17">
        <v>2014</v>
      </c>
      <c r="V2" s="14" t="s">
        <v>12</v>
      </c>
      <c r="W2" s="17">
        <v>2014</v>
      </c>
      <c r="X2" s="18" t="s">
        <v>12</v>
      </c>
      <c r="Y2" s="19">
        <v>2013</v>
      </c>
      <c r="Z2" s="18" t="s">
        <v>12</v>
      </c>
      <c r="AA2" s="19">
        <v>2013</v>
      </c>
      <c r="AB2" s="20" t="s">
        <v>12</v>
      </c>
      <c r="AC2" s="21">
        <v>2012</v>
      </c>
      <c r="AD2" s="20" t="s">
        <v>12</v>
      </c>
      <c r="AE2" s="22">
        <v>2012</v>
      </c>
      <c r="AF2" s="23" t="s">
        <v>12</v>
      </c>
      <c r="AG2" s="24">
        <v>2011</v>
      </c>
      <c r="AH2" s="23" t="s">
        <v>12</v>
      </c>
      <c r="AI2" s="24">
        <v>2011</v>
      </c>
      <c r="AJ2" s="12">
        <v>2010</v>
      </c>
      <c r="AK2" s="12">
        <v>2009</v>
      </c>
      <c r="AL2" s="12">
        <v>2008</v>
      </c>
    </row>
    <row r="3" spans="1:38" x14ac:dyDescent="0.2">
      <c r="A3" s="25" t="s">
        <v>13</v>
      </c>
      <c r="B3" s="25" t="s">
        <v>14</v>
      </c>
      <c r="C3" s="25"/>
      <c r="D3" s="25" t="s">
        <v>15</v>
      </c>
      <c r="E3" s="25">
        <v>32</v>
      </c>
      <c r="F3" s="26"/>
      <c r="G3" s="28"/>
      <c r="H3" s="28"/>
      <c r="I3" s="28"/>
      <c r="J3" s="28"/>
      <c r="K3" s="28"/>
      <c r="L3" s="27"/>
      <c r="M3" s="28"/>
      <c r="N3" s="27"/>
      <c r="O3" s="28"/>
      <c r="P3" s="33"/>
      <c r="Q3" s="32"/>
      <c r="R3" s="33"/>
      <c r="S3" s="32"/>
      <c r="T3" s="29"/>
      <c r="U3" s="30"/>
      <c r="V3" s="29"/>
      <c r="W3" s="30"/>
      <c r="X3" s="31"/>
      <c r="Y3" s="32"/>
      <c r="Z3" s="33"/>
      <c r="AA3" s="32"/>
      <c r="AB3" s="34"/>
      <c r="AC3" s="28"/>
      <c r="AD3" s="34"/>
      <c r="AE3" s="28"/>
      <c r="AF3" s="35"/>
      <c r="AG3" s="36"/>
      <c r="AH3" s="35"/>
      <c r="AI3" s="36"/>
      <c r="AJ3" s="37"/>
      <c r="AK3" s="37"/>
      <c r="AL3" s="37"/>
    </row>
    <row r="4" spans="1:38" x14ac:dyDescent="0.2">
      <c r="A4" s="38" t="s">
        <v>16</v>
      </c>
      <c r="B4" s="25" t="s">
        <v>14</v>
      </c>
      <c r="C4" s="25" t="s">
        <v>17</v>
      </c>
      <c r="D4" s="25" t="s">
        <v>15</v>
      </c>
      <c r="E4" s="25">
        <v>34</v>
      </c>
      <c r="F4" s="39" t="s">
        <v>18</v>
      </c>
      <c r="G4" s="28">
        <f>+Admin!F3</f>
        <v>0</v>
      </c>
      <c r="H4" s="28">
        <f>+Admin!G3</f>
        <v>146</v>
      </c>
      <c r="I4" s="28">
        <f>+Admin!H3</f>
        <v>30.56</v>
      </c>
      <c r="J4" s="28">
        <f>+Admin!I3</f>
        <v>0</v>
      </c>
      <c r="K4" s="28">
        <f>+Admin!J3</f>
        <v>110</v>
      </c>
      <c r="L4" s="28"/>
      <c r="M4" s="28">
        <f>+Admin!K3</f>
        <v>57.96</v>
      </c>
      <c r="N4" s="27"/>
      <c r="O4" s="28">
        <f>+Admin!L3</f>
        <v>866.05</v>
      </c>
      <c r="P4" s="33"/>
      <c r="Q4" s="32">
        <v>1500</v>
      </c>
      <c r="R4" s="33"/>
      <c r="S4" s="32">
        <f>+Admin!M3</f>
        <v>612.01</v>
      </c>
      <c r="T4" s="29"/>
      <c r="U4" s="30">
        <v>590</v>
      </c>
      <c r="V4" s="29"/>
      <c r="W4" s="30">
        <f>1605.13-400</f>
        <v>1205.1300000000001</v>
      </c>
      <c r="X4" s="31"/>
      <c r="Y4" s="32">
        <v>200</v>
      </c>
      <c r="Z4" s="33"/>
      <c r="AA4" s="32">
        <v>52</v>
      </c>
      <c r="AB4" s="34"/>
      <c r="AC4" s="28">
        <v>200</v>
      </c>
      <c r="AD4" s="34"/>
      <c r="AE4" s="28">
        <v>0</v>
      </c>
      <c r="AF4" s="35"/>
      <c r="AG4" s="36">
        <v>300</v>
      </c>
      <c r="AH4" s="35"/>
      <c r="AI4" s="36"/>
      <c r="AJ4" s="37">
        <v>285</v>
      </c>
      <c r="AK4" s="37">
        <v>204</v>
      </c>
      <c r="AL4" s="37">
        <f>469+29</f>
        <v>498</v>
      </c>
    </row>
    <row r="5" spans="1:38" x14ac:dyDescent="0.2">
      <c r="A5" s="25" t="s">
        <v>19</v>
      </c>
      <c r="B5" s="25" t="s">
        <v>14</v>
      </c>
      <c r="C5" s="25"/>
      <c r="D5" s="25" t="s">
        <v>15</v>
      </c>
      <c r="E5" s="25">
        <v>35</v>
      </c>
      <c r="F5" s="39" t="s">
        <v>18</v>
      </c>
      <c r="G5" s="28">
        <f>+Admin!F4</f>
        <v>100</v>
      </c>
      <c r="H5" s="28">
        <f>+Admin!G4</f>
        <v>282.70999999999998</v>
      </c>
      <c r="I5" s="28">
        <f>+Admin!H4</f>
        <v>47.8</v>
      </c>
      <c r="J5" s="28">
        <f>+Admin!I4</f>
        <v>0</v>
      </c>
      <c r="K5" s="28">
        <f>+Admin!J4</f>
        <v>0</v>
      </c>
      <c r="L5" s="28"/>
      <c r="M5" s="28">
        <f>+Admin!K4</f>
        <v>0</v>
      </c>
      <c r="N5" s="27"/>
      <c r="O5" s="28">
        <f>+Admin!L4</f>
        <v>28</v>
      </c>
      <c r="P5" s="33"/>
      <c r="Q5" s="32">
        <v>150</v>
      </c>
      <c r="R5" s="33"/>
      <c r="S5" s="32">
        <f>+Admin!M4</f>
        <v>160.47</v>
      </c>
      <c r="T5" s="29"/>
      <c r="U5" s="30">
        <v>150</v>
      </c>
      <c r="V5" s="29"/>
      <c r="W5" s="30">
        <v>32.159999999999997</v>
      </c>
      <c r="X5" s="31"/>
      <c r="Y5" s="32">
        <v>150</v>
      </c>
      <c r="Z5" s="33"/>
      <c r="AA5" s="32">
        <v>0</v>
      </c>
      <c r="AB5" s="34"/>
      <c r="AC5" s="28">
        <v>150</v>
      </c>
      <c r="AD5" s="34"/>
      <c r="AE5" s="28">
        <v>92.54</v>
      </c>
      <c r="AF5" s="35"/>
      <c r="AG5" s="36">
        <v>150</v>
      </c>
      <c r="AH5" s="35"/>
      <c r="AI5" s="36">
        <v>134.69999999999999</v>
      </c>
      <c r="AJ5" s="37">
        <v>102</v>
      </c>
      <c r="AK5" s="37">
        <f>20+114</f>
        <v>134</v>
      </c>
      <c r="AL5" s="37">
        <f>135+26</f>
        <v>161</v>
      </c>
    </row>
    <row r="6" spans="1:38" x14ac:dyDescent="0.2">
      <c r="A6" s="25" t="s">
        <v>20</v>
      </c>
      <c r="B6" s="25" t="s">
        <v>14</v>
      </c>
      <c r="C6" s="25"/>
      <c r="D6" s="25" t="s">
        <v>15</v>
      </c>
      <c r="E6" s="25">
        <v>36</v>
      </c>
      <c r="F6" s="39" t="s">
        <v>18</v>
      </c>
      <c r="G6" s="28">
        <f>+Admin!F5</f>
        <v>220</v>
      </c>
      <c r="H6" s="28">
        <f>+Admin!G5</f>
        <v>291</v>
      </c>
      <c r="I6" s="28">
        <f>+Admin!H5</f>
        <v>0</v>
      </c>
      <c r="J6" s="28">
        <f>+Admin!I5</f>
        <v>130.34</v>
      </c>
      <c r="K6" s="28">
        <f>+Admin!J5</f>
        <v>462.78</v>
      </c>
      <c r="L6" s="28"/>
      <c r="M6" s="28">
        <f>+Admin!K5</f>
        <v>140</v>
      </c>
      <c r="N6" s="27"/>
      <c r="O6" s="28">
        <f>+Admin!L5</f>
        <v>77.040000000000006</v>
      </c>
      <c r="P6" s="33"/>
      <c r="Q6" s="32">
        <v>60</v>
      </c>
      <c r="R6" s="33"/>
      <c r="S6" s="32">
        <f>+Admin!M5</f>
        <v>0</v>
      </c>
      <c r="T6" s="29"/>
      <c r="U6" s="30">
        <v>50</v>
      </c>
      <c r="V6" s="29"/>
      <c r="W6" s="30">
        <v>75</v>
      </c>
      <c r="X6" s="31"/>
      <c r="Y6" s="32">
        <v>50</v>
      </c>
      <c r="Z6" s="33"/>
      <c r="AA6" s="32">
        <v>0</v>
      </c>
      <c r="AB6" s="34"/>
      <c r="AC6" s="28">
        <v>40</v>
      </c>
      <c r="AD6" s="34"/>
      <c r="AE6" s="28">
        <v>0</v>
      </c>
      <c r="AF6" s="35"/>
      <c r="AG6" s="36">
        <v>25</v>
      </c>
      <c r="AH6" s="35"/>
      <c r="AI6" s="36">
        <v>36.9</v>
      </c>
      <c r="AJ6" s="37"/>
      <c r="AK6" s="37"/>
      <c r="AL6" s="37"/>
    </row>
    <row r="7" spans="1:38" x14ac:dyDescent="0.2">
      <c r="A7" s="25" t="s">
        <v>21</v>
      </c>
      <c r="B7" s="25" t="s">
        <v>14</v>
      </c>
      <c r="C7" s="25"/>
      <c r="D7" s="25" t="s">
        <v>15</v>
      </c>
      <c r="E7" s="25">
        <v>37</v>
      </c>
      <c r="F7" s="39" t="s">
        <v>18</v>
      </c>
      <c r="G7" s="28">
        <f>+Admin!F6</f>
        <v>226</v>
      </c>
      <c r="H7" s="28">
        <f>+Admin!G6</f>
        <v>226</v>
      </c>
      <c r="I7" s="28">
        <f>+Admin!H6</f>
        <v>190</v>
      </c>
      <c r="J7" s="28">
        <f>+Admin!I6</f>
        <v>176</v>
      </c>
      <c r="K7" s="28">
        <f>+Admin!J6</f>
        <v>166</v>
      </c>
      <c r="L7" s="28"/>
      <c r="M7" s="28">
        <f>+Admin!K6</f>
        <v>160</v>
      </c>
      <c r="N7" s="27"/>
      <c r="O7" s="28">
        <f>+Admin!L6</f>
        <v>160</v>
      </c>
      <c r="P7" s="33"/>
      <c r="Q7" s="32">
        <v>140</v>
      </c>
      <c r="R7" s="33"/>
      <c r="S7" s="32">
        <f>+Admin!M6</f>
        <v>154</v>
      </c>
      <c r="T7" s="29"/>
      <c r="U7" s="30">
        <v>130</v>
      </c>
      <c r="V7" s="29"/>
      <c r="W7" s="30">
        <v>134</v>
      </c>
      <c r="X7" s="31"/>
      <c r="Y7" s="32">
        <v>120</v>
      </c>
      <c r="Z7" s="33"/>
      <c r="AA7" s="32">
        <v>124</v>
      </c>
      <c r="AB7" s="34"/>
      <c r="AC7" s="28">
        <v>120</v>
      </c>
      <c r="AD7" s="34"/>
      <c r="AE7" s="28">
        <v>116</v>
      </c>
      <c r="AF7" s="35"/>
      <c r="AG7" s="36">
        <v>120</v>
      </c>
      <c r="AH7" s="35"/>
      <c r="AI7" s="36">
        <v>116</v>
      </c>
      <c r="AJ7" s="37">
        <v>114</v>
      </c>
      <c r="AK7" s="37">
        <v>114</v>
      </c>
      <c r="AL7" s="37">
        <v>108</v>
      </c>
    </row>
    <row r="8" spans="1:38" x14ac:dyDescent="0.2">
      <c r="A8" s="25" t="s">
        <v>22</v>
      </c>
      <c r="B8" s="25" t="s">
        <v>14</v>
      </c>
      <c r="C8" s="25"/>
      <c r="D8" s="25" t="s">
        <v>15</v>
      </c>
      <c r="E8" s="25">
        <v>38</v>
      </c>
      <c r="F8" s="39" t="s">
        <v>18</v>
      </c>
      <c r="G8" s="28">
        <f>+Admin!F7</f>
        <v>0</v>
      </c>
      <c r="H8" s="28">
        <f>+Admin!G7</f>
        <v>0</v>
      </c>
      <c r="I8" s="28">
        <f>+Admin!H7</f>
        <v>0</v>
      </c>
      <c r="J8" s="28">
        <f>+Admin!I7</f>
        <v>0</v>
      </c>
      <c r="K8" s="28">
        <f>+Admin!J7</f>
        <v>0</v>
      </c>
      <c r="L8" s="28"/>
      <c r="M8" s="28">
        <f>+Admin!K7</f>
        <v>0</v>
      </c>
      <c r="N8" s="27"/>
      <c r="O8" s="28">
        <f>+Admin!L7</f>
        <v>0</v>
      </c>
      <c r="P8" s="33"/>
      <c r="Q8" s="32">
        <v>25</v>
      </c>
      <c r="R8" s="33"/>
      <c r="S8" s="32">
        <f>+Admin!M7</f>
        <v>0</v>
      </c>
      <c r="T8" s="29"/>
      <c r="U8" s="30">
        <v>25</v>
      </c>
      <c r="V8" s="29"/>
      <c r="W8" s="30">
        <v>0</v>
      </c>
      <c r="X8" s="31"/>
      <c r="Y8" s="32">
        <v>25</v>
      </c>
      <c r="Z8" s="33"/>
      <c r="AA8" s="32">
        <v>0</v>
      </c>
      <c r="AB8" s="34"/>
      <c r="AC8" s="28">
        <v>25</v>
      </c>
      <c r="AD8" s="34"/>
      <c r="AE8" s="28">
        <v>0</v>
      </c>
      <c r="AF8" s="35"/>
      <c r="AG8" s="36">
        <v>75</v>
      </c>
      <c r="AH8" s="35"/>
      <c r="AI8" s="36"/>
      <c r="AJ8" s="37">
        <v>7</v>
      </c>
      <c r="AK8" s="37">
        <v>65</v>
      </c>
      <c r="AL8" s="37">
        <f>2+88</f>
        <v>90</v>
      </c>
    </row>
    <row r="9" spans="1:38" x14ac:dyDescent="0.2">
      <c r="A9" s="25" t="s">
        <v>23</v>
      </c>
      <c r="B9" s="25" t="s">
        <v>14</v>
      </c>
      <c r="C9" s="25"/>
      <c r="D9" s="25" t="s">
        <v>15</v>
      </c>
      <c r="E9" s="25">
        <v>39</v>
      </c>
      <c r="F9" s="39" t="s">
        <v>18</v>
      </c>
      <c r="G9" s="28">
        <f>+Admin!F8</f>
        <v>22</v>
      </c>
      <c r="H9" s="28">
        <f>+Admin!G8</f>
        <v>22</v>
      </c>
      <c r="I9" s="28">
        <f>+Admin!H8</f>
        <v>22</v>
      </c>
      <c r="J9" s="28">
        <f>+Admin!I8</f>
        <v>22</v>
      </c>
      <c r="K9" s="28">
        <f>+Admin!J8</f>
        <v>20</v>
      </c>
      <c r="L9" s="28"/>
      <c r="M9" s="28">
        <f>+Admin!K8</f>
        <v>125</v>
      </c>
      <c r="N9" s="27"/>
      <c r="O9" s="28">
        <f>+Admin!L8</f>
        <v>0</v>
      </c>
      <c r="P9" s="33"/>
      <c r="Q9" s="32">
        <v>50</v>
      </c>
      <c r="R9" s="33"/>
      <c r="S9" s="32">
        <f>+Admin!M8</f>
        <v>22</v>
      </c>
      <c r="T9" s="29"/>
      <c r="U9" s="30">
        <v>25</v>
      </c>
      <c r="V9" s="29"/>
      <c r="W9" s="30">
        <v>47</v>
      </c>
      <c r="X9" s="31"/>
      <c r="Y9" s="32">
        <v>25</v>
      </c>
      <c r="Z9" s="33"/>
      <c r="AA9" s="32">
        <v>22</v>
      </c>
      <c r="AB9" s="34"/>
      <c r="AC9" s="28">
        <v>22</v>
      </c>
      <c r="AD9" s="34"/>
      <c r="AE9" s="28">
        <v>22</v>
      </c>
      <c r="AF9" s="35"/>
      <c r="AG9" s="36">
        <v>20</v>
      </c>
      <c r="AH9" s="35"/>
      <c r="AI9" s="36">
        <v>22</v>
      </c>
      <c r="AJ9" s="37">
        <v>20</v>
      </c>
      <c r="AK9" s="37">
        <v>20</v>
      </c>
      <c r="AL9" s="37">
        <v>20</v>
      </c>
    </row>
    <row r="10" spans="1:38" x14ac:dyDescent="0.2">
      <c r="A10" s="25" t="s">
        <v>24</v>
      </c>
      <c r="B10" s="25" t="s">
        <v>14</v>
      </c>
      <c r="C10" s="25"/>
      <c r="D10" s="25" t="s">
        <v>15</v>
      </c>
      <c r="E10" s="25">
        <v>40</v>
      </c>
      <c r="F10" s="39" t="s">
        <v>18</v>
      </c>
      <c r="G10" s="28">
        <f>+Admin!F9</f>
        <v>0</v>
      </c>
      <c r="H10" s="28">
        <f>+Admin!G9</f>
        <v>0</v>
      </c>
      <c r="I10" s="28">
        <f>+Admin!H9</f>
        <v>0</v>
      </c>
      <c r="J10" s="28">
        <f>+Admin!I9</f>
        <v>0</v>
      </c>
      <c r="K10" s="28">
        <f>+Admin!J9</f>
        <v>0</v>
      </c>
      <c r="L10" s="28"/>
      <c r="M10" s="28">
        <f>+Admin!K9</f>
        <v>0</v>
      </c>
      <c r="N10" s="27"/>
      <c r="O10" s="28">
        <f>+Admin!L9</f>
        <v>0</v>
      </c>
      <c r="P10" s="33"/>
      <c r="Q10" s="32">
        <v>120</v>
      </c>
      <c r="R10" s="33"/>
      <c r="S10" s="32">
        <f>+Admin!M9</f>
        <v>159.5</v>
      </c>
      <c r="T10" s="29"/>
      <c r="U10" s="30">
        <v>240</v>
      </c>
      <c r="V10" s="29"/>
      <c r="W10" s="30">
        <v>151.9</v>
      </c>
      <c r="X10" s="31"/>
      <c r="Y10" s="32">
        <v>240</v>
      </c>
      <c r="Z10" s="33"/>
      <c r="AA10" s="32">
        <v>152.16999999999999</v>
      </c>
      <c r="AB10" s="34"/>
      <c r="AC10" s="28">
        <v>240</v>
      </c>
      <c r="AD10" s="34"/>
      <c r="AE10" s="28">
        <v>223.52</v>
      </c>
      <c r="AF10" s="35"/>
      <c r="AG10" s="36">
        <v>200</v>
      </c>
      <c r="AH10" s="35"/>
      <c r="AI10" s="36">
        <v>240.1</v>
      </c>
      <c r="AJ10" s="37"/>
      <c r="AK10" s="37"/>
      <c r="AL10" s="37">
        <v>198</v>
      </c>
    </row>
    <row r="11" spans="1:38" x14ac:dyDescent="0.2">
      <c r="A11" s="25" t="s">
        <v>25</v>
      </c>
      <c r="B11" s="25" t="s">
        <v>14</v>
      </c>
      <c r="C11" s="25"/>
      <c r="D11" s="25" t="s">
        <v>15</v>
      </c>
      <c r="E11" s="25">
        <v>41</v>
      </c>
      <c r="F11" s="39" t="s">
        <v>18</v>
      </c>
      <c r="G11" s="28">
        <f>+Admin!F10</f>
        <v>0</v>
      </c>
      <c r="H11" s="28">
        <f>+Admin!G10</f>
        <v>0</v>
      </c>
      <c r="I11" s="28">
        <f>+Admin!H10</f>
        <v>0</v>
      </c>
      <c r="J11" s="28">
        <f>+Admin!I10</f>
        <v>0</v>
      </c>
      <c r="K11" s="28">
        <f>+Admin!J10</f>
        <v>0</v>
      </c>
      <c r="L11" s="28"/>
      <c r="M11" s="28">
        <f>+Admin!K10</f>
        <v>0</v>
      </c>
      <c r="N11" s="27"/>
      <c r="O11" s="28">
        <f>+Admin!L10</f>
        <v>0</v>
      </c>
      <c r="P11" s="33"/>
      <c r="Q11" s="32">
        <v>500</v>
      </c>
      <c r="R11" s="33"/>
      <c r="S11" s="32">
        <f>+Admin!M10</f>
        <v>548.79999999999995</v>
      </c>
      <c r="T11" s="29"/>
      <c r="U11" s="30">
        <v>550</v>
      </c>
      <c r="V11" s="29"/>
      <c r="W11" s="30">
        <v>455</v>
      </c>
      <c r="X11" s="31"/>
      <c r="Y11" s="32">
        <v>660</v>
      </c>
      <c r="Z11" s="33"/>
      <c r="AA11" s="32">
        <v>496.91</v>
      </c>
      <c r="AB11" s="34"/>
      <c r="AC11" s="28">
        <v>660</v>
      </c>
      <c r="AD11" s="34"/>
      <c r="AE11" s="28">
        <v>575.88</v>
      </c>
      <c r="AF11" s="35"/>
      <c r="AG11" s="36">
        <v>650</v>
      </c>
      <c r="AH11" s="35"/>
      <c r="AI11" s="36">
        <v>687.35</v>
      </c>
      <c r="AJ11" s="37">
        <v>642</v>
      </c>
      <c r="AK11" s="37">
        <f>810+50</f>
        <v>860</v>
      </c>
      <c r="AL11" s="37">
        <f>227+364+227</f>
        <v>818</v>
      </c>
    </row>
    <row r="12" spans="1:38" x14ac:dyDescent="0.2">
      <c r="A12" s="25" t="s">
        <v>26</v>
      </c>
      <c r="B12" s="25" t="s">
        <v>14</v>
      </c>
      <c r="C12" s="25"/>
      <c r="D12" s="25" t="s">
        <v>15</v>
      </c>
      <c r="E12" s="25">
        <v>42</v>
      </c>
      <c r="F12" s="39" t="s">
        <v>18</v>
      </c>
      <c r="G12" s="28">
        <f>+Admin!F11</f>
        <v>700</v>
      </c>
      <c r="H12" s="28">
        <f>+Admin!G11</f>
        <v>939.42000000000007</v>
      </c>
      <c r="I12" s="28">
        <f>+Admin!H11</f>
        <v>182.58</v>
      </c>
      <c r="J12" s="28">
        <f>+Admin!I11</f>
        <v>662.76</v>
      </c>
      <c r="K12" s="28">
        <f>+Admin!J11</f>
        <v>220</v>
      </c>
      <c r="L12" s="28"/>
      <c r="M12" s="28">
        <f>+Admin!K11</f>
        <v>290.39999999999998</v>
      </c>
      <c r="N12" s="27"/>
      <c r="O12" s="28">
        <f>+Admin!L11</f>
        <v>290.39999999999998</v>
      </c>
      <c r="P12" s="33"/>
      <c r="Q12" s="32">
        <v>500</v>
      </c>
      <c r="R12" s="33"/>
      <c r="S12" s="32">
        <f>+Admin!M11</f>
        <v>227.4</v>
      </c>
      <c r="T12" s="29"/>
      <c r="U12" s="30">
        <v>250</v>
      </c>
      <c r="V12" s="29"/>
      <c r="W12" s="30">
        <v>425.23</v>
      </c>
      <c r="X12" s="31"/>
      <c r="Y12" s="32">
        <v>250</v>
      </c>
      <c r="Z12" s="33"/>
      <c r="AA12" s="32">
        <v>193.83</v>
      </c>
      <c r="AB12" s="34"/>
      <c r="AC12" s="28">
        <v>250</v>
      </c>
      <c r="AD12" s="34"/>
      <c r="AE12" s="28">
        <v>202.83</v>
      </c>
      <c r="AF12" s="35"/>
      <c r="AG12" s="36">
        <f>63+116</f>
        <v>179</v>
      </c>
      <c r="AH12" s="35"/>
      <c r="AI12" s="36">
        <v>252.85</v>
      </c>
      <c r="AJ12" s="37">
        <v>25.9</v>
      </c>
      <c r="AK12" s="37">
        <v>156</v>
      </c>
      <c r="AL12" s="37">
        <f>12.95+96</f>
        <v>108.95</v>
      </c>
    </row>
    <row r="13" spans="1:38" x14ac:dyDescent="0.2">
      <c r="A13" s="25" t="s">
        <v>27</v>
      </c>
      <c r="B13" s="25" t="s">
        <v>14</v>
      </c>
      <c r="C13" s="25" t="s">
        <v>27</v>
      </c>
      <c r="D13" s="25" t="s">
        <v>15</v>
      </c>
      <c r="E13" s="25">
        <v>43</v>
      </c>
      <c r="F13" s="26"/>
      <c r="G13" s="28"/>
      <c r="H13" s="28"/>
      <c r="I13" s="28"/>
      <c r="J13" s="28"/>
      <c r="K13" s="28"/>
      <c r="L13" s="27"/>
      <c r="M13" s="28"/>
      <c r="N13" s="27"/>
      <c r="O13" s="28"/>
      <c r="P13" s="33"/>
      <c r="Q13" s="32"/>
      <c r="R13" s="33"/>
      <c r="S13" s="32"/>
      <c r="T13" s="29"/>
      <c r="U13" s="30"/>
      <c r="V13" s="29"/>
      <c r="W13" s="30"/>
      <c r="X13" s="31"/>
      <c r="Y13" s="32"/>
      <c r="Z13" s="33"/>
      <c r="AA13" s="32"/>
      <c r="AB13" s="34"/>
      <c r="AC13" s="28"/>
      <c r="AD13" s="34"/>
      <c r="AE13" s="28"/>
      <c r="AF13" s="35"/>
      <c r="AG13" s="36"/>
      <c r="AH13" s="35"/>
      <c r="AI13" s="36"/>
      <c r="AJ13" s="37"/>
      <c r="AK13" s="37"/>
      <c r="AL13" s="37"/>
    </row>
    <row r="14" spans="1:38" x14ac:dyDescent="0.2">
      <c r="A14" s="25" t="s">
        <v>28</v>
      </c>
      <c r="B14" s="25" t="s">
        <v>14</v>
      </c>
      <c r="C14" s="25"/>
      <c r="D14" s="25" t="s">
        <v>15</v>
      </c>
      <c r="E14" s="25">
        <v>44</v>
      </c>
      <c r="F14" s="39" t="s">
        <v>18</v>
      </c>
      <c r="G14" s="28">
        <f>Admin!F12</f>
        <v>0</v>
      </c>
      <c r="H14" s="28">
        <f>Admin!G12</f>
        <v>0</v>
      </c>
      <c r="I14" s="28">
        <f>Admin!H12</f>
        <v>0</v>
      </c>
      <c r="J14" s="28">
        <f>+Admin!I12</f>
        <v>0</v>
      </c>
      <c r="K14" s="28">
        <f>+Admin!J12</f>
        <v>0</v>
      </c>
      <c r="L14" s="27"/>
      <c r="M14" s="28">
        <f>+Admin!K12</f>
        <v>0</v>
      </c>
      <c r="N14" s="27"/>
      <c r="O14" s="28">
        <f>+Admin!L12</f>
        <v>0</v>
      </c>
      <c r="P14" s="33"/>
      <c r="Q14" s="32">
        <v>0</v>
      </c>
      <c r="R14" s="33"/>
      <c r="S14" s="32">
        <f>+Admin!M12</f>
        <v>0</v>
      </c>
      <c r="T14" s="29"/>
      <c r="U14" s="30">
        <v>0</v>
      </c>
      <c r="V14" s="29"/>
      <c r="W14" s="30">
        <v>0</v>
      </c>
      <c r="X14" s="31"/>
      <c r="Y14" s="32">
        <v>0</v>
      </c>
      <c r="Z14" s="33"/>
      <c r="AA14" s="32">
        <v>0</v>
      </c>
      <c r="AB14" s="34"/>
      <c r="AC14" s="28">
        <v>0</v>
      </c>
      <c r="AD14" s="34"/>
      <c r="AE14" s="28">
        <v>0</v>
      </c>
      <c r="AF14" s="35"/>
      <c r="AG14" s="36">
        <v>20</v>
      </c>
      <c r="AH14" s="35"/>
      <c r="AI14" s="36">
        <v>38.07</v>
      </c>
      <c r="AJ14" s="37"/>
      <c r="AK14" s="37"/>
      <c r="AL14" s="37"/>
    </row>
    <row r="15" spans="1:38" x14ac:dyDescent="0.2">
      <c r="A15" s="25" t="s">
        <v>29</v>
      </c>
      <c r="B15" s="25" t="s">
        <v>14</v>
      </c>
      <c r="C15" s="25"/>
      <c r="D15" s="25" t="s">
        <v>15</v>
      </c>
      <c r="E15" s="25">
        <v>45</v>
      </c>
      <c r="F15" s="39" t="s">
        <v>18</v>
      </c>
      <c r="G15" s="28">
        <f>Admin!F13</f>
        <v>0</v>
      </c>
      <c r="H15" s="28">
        <f>Admin!G13</f>
        <v>100</v>
      </c>
      <c r="I15" s="28">
        <f>Admin!H13</f>
        <v>0</v>
      </c>
      <c r="J15" s="28">
        <f>+Admin!I13</f>
        <v>230</v>
      </c>
      <c r="K15" s="28">
        <f>+Admin!J13</f>
        <v>0</v>
      </c>
      <c r="L15" s="27"/>
      <c r="M15" s="28">
        <f>+Admin!K13</f>
        <v>0</v>
      </c>
      <c r="N15" s="27"/>
      <c r="O15" s="28">
        <f>+Admin!L13</f>
        <v>0</v>
      </c>
      <c r="P15" s="33"/>
      <c r="Q15" s="32">
        <v>0</v>
      </c>
      <c r="R15" s="33"/>
      <c r="S15" s="32">
        <f>+Admin!M13</f>
        <v>0.19</v>
      </c>
      <c r="T15" s="29"/>
      <c r="U15" s="30">
        <v>0</v>
      </c>
      <c r="V15" s="29"/>
      <c r="W15" s="30">
        <v>0</v>
      </c>
      <c r="X15" s="31"/>
      <c r="Y15" s="32">
        <v>0</v>
      </c>
      <c r="Z15" s="33"/>
      <c r="AA15" s="32">
        <v>1.95</v>
      </c>
      <c r="AB15" s="34"/>
      <c r="AC15" s="28">
        <v>0</v>
      </c>
      <c r="AD15" s="34"/>
      <c r="AE15" s="28">
        <v>1.95</v>
      </c>
      <c r="AF15" s="35"/>
      <c r="AG15" s="36">
        <v>0</v>
      </c>
      <c r="AH15" s="35"/>
      <c r="AI15" s="36">
        <f>0.35+1.95</f>
        <v>2.2999999999999998</v>
      </c>
      <c r="AJ15" s="37"/>
      <c r="AK15" s="37"/>
      <c r="AL15" s="37">
        <v>80.319999999999993</v>
      </c>
    </row>
    <row r="16" spans="1:38" x14ac:dyDescent="0.2">
      <c r="A16" s="25" t="s">
        <v>30</v>
      </c>
      <c r="B16" s="25" t="s">
        <v>14</v>
      </c>
      <c r="C16" s="25"/>
      <c r="D16" s="25" t="s">
        <v>15</v>
      </c>
      <c r="E16" s="25">
        <v>46</v>
      </c>
      <c r="F16" s="39" t="s">
        <v>18</v>
      </c>
      <c r="G16" s="28">
        <f>Admin!F14</f>
        <v>380</v>
      </c>
      <c r="H16" s="28">
        <f>Admin!G14</f>
        <v>212.15</v>
      </c>
      <c r="I16" s="28">
        <f>Admin!H14</f>
        <v>136.34</v>
      </c>
      <c r="J16" s="28">
        <f>+Admin!I14</f>
        <v>379.44</v>
      </c>
      <c r="K16" s="28">
        <f>+Admin!J14</f>
        <v>365.45</v>
      </c>
      <c r="L16" s="27"/>
      <c r="M16" s="28">
        <f>+Admin!K14</f>
        <v>412.53</v>
      </c>
      <c r="N16" s="27"/>
      <c r="O16" s="28">
        <f>+Admin!L14</f>
        <v>428.36</v>
      </c>
      <c r="P16" s="33"/>
      <c r="Q16" s="32">
        <v>440</v>
      </c>
      <c r="R16" s="33"/>
      <c r="S16" s="32">
        <f>+Admin!M14</f>
        <v>417.4</v>
      </c>
      <c r="T16" s="29"/>
      <c r="U16" s="30">
        <v>300</v>
      </c>
      <c r="V16" s="29"/>
      <c r="W16" s="30">
        <v>432.83</v>
      </c>
      <c r="X16" s="31"/>
      <c r="Y16" s="32">
        <v>270</v>
      </c>
      <c r="Z16" s="33"/>
      <c r="AA16" s="32">
        <v>305.14999999999998</v>
      </c>
      <c r="AB16" s="34"/>
      <c r="AC16" s="28">
        <v>250</v>
      </c>
      <c r="AD16" s="34"/>
      <c r="AE16" s="28">
        <v>265.27999999999997</v>
      </c>
      <c r="AF16" s="35"/>
      <c r="AG16" s="36">
        <f>+AG84*2%</f>
        <v>252.6</v>
      </c>
      <c r="AH16" s="35"/>
      <c r="AI16" s="36">
        <v>211.3</v>
      </c>
      <c r="AJ16" s="37"/>
      <c r="AK16" s="37"/>
      <c r="AL16" s="37"/>
    </row>
    <row r="17" spans="1:42" x14ac:dyDescent="0.2">
      <c r="A17" s="25" t="s">
        <v>31</v>
      </c>
      <c r="B17" s="25" t="s">
        <v>14</v>
      </c>
      <c r="C17" s="25"/>
      <c r="D17" s="25" t="s">
        <v>15</v>
      </c>
      <c r="E17" s="25"/>
      <c r="F17" s="26"/>
      <c r="G17" s="28"/>
      <c r="H17" s="28"/>
      <c r="I17" s="28"/>
      <c r="J17" s="28"/>
      <c r="K17" s="28"/>
      <c r="L17" s="27"/>
      <c r="M17" s="28"/>
      <c r="N17" s="27"/>
      <c r="O17" s="28"/>
      <c r="P17" s="33"/>
      <c r="Q17" s="32"/>
      <c r="R17" s="33"/>
      <c r="S17" s="32"/>
      <c r="T17" s="29"/>
      <c r="U17" s="30"/>
      <c r="V17" s="29"/>
      <c r="W17" s="30"/>
      <c r="X17" s="31"/>
      <c r="Y17" s="32"/>
      <c r="Z17" s="33"/>
      <c r="AA17" s="32"/>
      <c r="AB17" s="34"/>
      <c r="AC17" s="28"/>
      <c r="AD17" s="34"/>
      <c r="AE17" s="28"/>
      <c r="AF17" s="35"/>
      <c r="AG17" s="36"/>
      <c r="AH17" s="35"/>
      <c r="AI17" s="36"/>
      <c r="AJ17" s="37"/>
      <c r="AK17" s="37"/>
      <c r="AL17" s="37"/>
    </row>
    <row r="18" spans="1:42" x14ac:dyDescent="0.2">
      <c r="A18" s="25" t="s">
        <v>32</v>
      </c>
      <c r="B18" s="25" t="s">
        <v>14</v>
      </c>
      <c r="C18" s="25"/>
      <c r="D18" s="25" t="s">
        <v>15</v>
      </c>
      <c r="E18" s="25">
        <v>64</v>
      </c>
      <c r="F18" s="40" t="s">
        <v>33</v>
      </c>
      <c r="G18" s="28">
        <f>Cruising!F3</f>
        <v>0</v>
      </c>
      <c r="H18" s="28">
        <f>Cruising!G3</f>
        <v>0</v>
      </c>
      <c r="I18" s="28">
        <f>Cruising!H3</f>
        <v>0</v>
      </c>
      <c r="J18" s="28">
        <f>Cruising!I3</f>
        <v>0</v>
      </c>
      <c r="K18" s="28">
        <f>+Admin!J3</f>
        <v>110</v>
      </c>
      <c r="L18" s="28">
        <f>+Cruising!K5</f>
        <v>0</v>
      </c>
      <c r="M18" s="28">
        <f>+Cruising!K3</f>
        <v>300</v>
      </c>
      <c r="N18" s="27"/>
      <c r="O18" s="28">
        <f>+Cruising!L3</f>
        <v>0</v>
      </c>
      <c r="P18" s="33"/>
      <c r="Q18" s="32">
        <v>500</v>
      </c>
      <c r="R18" s="33"/>
      <c r="S18" s="32">
        <f>+Cruising!M3</f>
        <v>571.28</v>
      </c>
      <c r="T18" s="29"/>
      <c r="U18" s="30">
        <v>500</v>
      </c>
      <c r="V18" s="29"/>
      <c r="W18" s="30">
        <v>0</v>
      </c>
      <c r="X18" s="31"/>
      <c r="Y18" s="32">
        <v>100</v>
      </c>
      <c r="Z18" s="33"/>
      <c r="AA18" s="32">
        <v>0</v>
      </c>
      <c r="AB18" s="34"/>
      <c r="AC18" s="28">
        <v>100</v>
      </c>
      <c r="AD18" s="34"/>
      <c r="AE18" s="28">
        <v>0</v>
      </c>
      <c r="AF18" s="35"/>
      <c r="AG18" s="36">
        <v>100</v>
      </c>
      <c r="AH18" s="35"/>
      <c r="AI18" s="36"/>
      <c r="AJ18" s="37"/>
      <c r="AK18" s="37"/>
      <c r="AL18" s="37"/>
    </row>
    <row r="19" spans="1:42" x14ac:dyDescent="0.2">
      <c r="A19" s="25" t="s">
        <v>34</v>
      </c>
      <c r="B19" s="25" t="s">
        <v>14</v>
      </c>
      <c r="C19" s="25"/>
      <c r="D19" s="25" t="s">
        <v>15</v>
      </c>
      <c r="E19" s="25">
        <v>65</v>
      </c>
      <c r="F19" s="40" t="s">
        <v>33</v>
      </c>
      <c r="G19" s="28">
        <f>Cruising!F4</f>
        <v>0</v>
      </c>
      <c r="H19" s="28">
        <f>Cruising!G4</f>
        <v>0</v>
      </c>
      <c r="I19" s="28">
        <f>Cruising!H4</f>
        <v>0</v>
      </c>
      <c r="J19" s="28">
        <f>Cruising!I4</f>
        <v>0</v>
      </c>
      <c r="K19" s="28">
        <f>+Admin!J4</f>
        <v>0</v>
      </c>
      <c r="L19" s="28">
        <f>+Cruising!K6</f>
        <v>0</v>
      </c>
      <c r="M19" s="28">
        <f>+Cruising!K4</f>
        <v>0</v>
      </c>
      <c r="N19" s="27">
        <f>+O19-O55</f>
        <v>0</v>
      </c>
      <c r="O19" s="28">
        <f>+Cruising!L4</f>
        <v>0</v>
      </c>
      <c r="P19" s="33">
        <f>+Q19-Q55</f>
        <v>100</v>
      </c>
      <c r="Q19" s="32">
        <v>8200</v>
      </c>
      <c r="R19" s="33">
        <f>+S19-S55</f>
        <v>0</v>
      </c>
      <c r="S19" s="32">
        <f>+Cruising!M4</f>
        <v>0</v>
      </c>
      <c r="T19" s="29">
        <f>+U19-U55</f>
        <v>100</v>
      </c>
      <c r="U19" s="30">
        <v>8200</v>
      </c>
      <c r="V19" s="29">
        <f>+W19-W55</f>
        <v>22.98</v>
      </c>
      <c r="W19" s="30">
        <v>22.98</v>
      </c>
      <c r="X19" s="31">
        <f>+Y19-Y55</f>
        <v>100</v>
      </c>
      <c r="Y19" s="32">
        <v>1000</v>
      </c>
      <c r="Z19" s="33">
        <f>+AA19-AA55</f>
        <v>0</v>
      </c>
      <c r="AA19" s="32">
        <v>0</v>
      </c>
      <c r="AB19" s="34">
        <f>+AC19-AC55</f>
        <v>100</v>
      </c>
      <c r="AC19" s="28">
        <v>1000</v>
      </c>
      <c r="AD19" s="34">
        <f>+AE19-AE55</f>
        <v>0</v>
      </c>
      <c r="AE19" s="28">
        <v>0</v>
      </c>
      <c r="AF19" s="35">
        <f>+AG19-AG55</f>
        <v>100</v>
      </c>
      <c r="AG19" s="36">
        <v>100</v>
      </c>
      <c r="AH19" s="35">
        <f>+AI19-AI55</f>
        <v>-20.559999999999945</v>
      </c>
      <c r="AI19" s="36">
        <v>889.44</v>
      </c>
      <c r="AJ19" s="37"/>
      <c r="AK19" s="37"/>
      <c r="AL19" s="37"/>
    </row>
    <row r="20" spans="1:42" x14ac:dyDescent="0.2">
      <c r="A20" s="25" t="s">
        <v>35</v>
      </c>
      <c r="B20" s="25" t="s">
        <v>14</v>
      </c>
      <c r="C20" s="25"/>
      <c r="D20" s="25" t="s">
        <v>15</v>
      </c>
      <c r="E20" s="25">
        <v>50</v>
      </c>
      <c r="F20" s="26"/>
      <c r="G20" s="28"/>
      <c r="H20" s="28"/>
      <c r="I20" s="28"/>
      <c r="J20" s="28"/>
      <c r="K20" s="28"/>
      <c r="L20" s="27"/>
      <c r="M20" s="28"/>
      <c r="N20" s="27"/>
      <c r="O20" s="28"/>
      <c r="P20" s="33"/>
      <c r="Q20" s="32"/>
      <c r="R20" s="33"/>
      <c r="S20" s="32"/>
      <c r="T20" s="29"/>
      <c r="U20" s="30"/>
      <c r="V20" s="29"/>
      <c r="W20" s="30"/>
      <c r="X20" s="31"/>
      <c r="Y20" s="32"/>
      <c r="Z20" s="33"/>
      <c r="AA20" s="32"/>
      <c r="AB20" s="34"/>
      <c r="AC20" s="28"/>
      <c r="AD20" s="34"/>
      <c r="AE20" s="28"/>
      <c r="AF20" s="35"/>
      <c r="AG20" s="36"/>
      <c r="AH20" s="35"/>
      <c r="AI20" s="36"/>
      <c r="AJ20" s="37">
        <v>35</v>
      </c>
      <c r="AK20" s="37">
        <v>35</v>
      </c>
      <c r="AL20" s="37"/>
    </row>
    <row r="21" spans="1:42" x14ac:dyDescent="0.2">
      <c r="A21" s="25" t="s">
        <v>36</v>
      </c>
      <c r="B21" s="25" t="s">
        <v>14</v>
      </c>
      <c r="C21" s="25"/>
      <c r="D21" s="25" t="s">
        <v>15</v>
      </c>
      <c r="E21" s="25">
        <v>51</v>
      </c>
      <c r="F21" s="39" t="s">
        <v>18</v>
      </c>
      <c r="G21" s="28">
        <f>+Admin!F15</f>
        <v>125</v>
      </c>
      <c r="H21" s="28">
        <f>+Admin!G15</f>
        <v>125</v>
      </c>
      <c r="I21" s="28">
        <f>+Admin!H15</f>
        <v>125</v>
      </c>
      <c r="J21" s="28">
        <f>+Admin!I15</f>
        <v>125</v>
      </c>
      <c r="K21" s="28">
        <f>+Admin!J15</f>
        <v>125</v>
      </c>
      <c r="L21" s="27"/>
      <c r="M21" s="28">
        <f>+Admin!K15</f>
        <v>125</v>
      </c>
      <c r="N21" s="27"/>
      <c r="O21" s="28">
        <f>+Admin!L15</f>
        <v>100</v>
      </c>
      <c r="P21" s="33"/>
      <c r="Q21" s="32">
        <v>100</v>
      </c>
      <c r="R21" s="33"/>
      <c r="S21" s="32">
        <f>+Admin!M15</f>
        <v>100</v>
      </c>
      <c r="T21" s="29"/>
      <c r="U21" s="30">
        <v>100</v>
      </c>
      <c r="V21" s="29"/>
      <c r="W21" s="30">
        <v>100</v>
      </c>
      <c r="X21" s="31"/>
      <c r="Y21" s="32">
        <v>100</v>
      </c>
      <c r="Z21" s="33"/>
      <c r="AA21" s="32">
        <v>100</v>
      </c>
      <c r="AB21" s="34"/>
      <c r="AC21" s="28">
        <v>100</v>
      </c>
      <c r="AD21" s="34"/>
      <c r="AE21" s="28">
        <v>100</v>
      </c>
      <c r="AF21" s="35"/>
      <c r="AG21" s="36">
        <v>100</v>
      </c>
      <c r="AH21" s="35"/>
      <c r="AI21" s="36">
        <v>100</v>
      </c>
      <c r="AJ21" s="37">
        <v>100</v>
      </c>
      <c r="AK21" s="37">
        <v>200</v>
      </c>
      <c r="AL21" s="37">
        <v>200</v>
      </c>
    </row>
    <row r="22" spans="1:42" x14ac:dyDescent="0.2">
      <c r="A22" s="25" t="s">
        <v>37</v>
      </c>
      <c r="B22" s="25" t="s">
        <v>14</v>
      </c>
      <c r="C22" s="25"/>
      <c r="D22" s="25" t="s">
        <v>15</v>
      </c>
      <c r="E22" s="25">
        <v>52</v>
      </c>
      <c r="F22" s="39" t="s">
        <v>18</v>
      </c>
      <c r="G22" s="28">
        <f>+Admin!F16</f>
        <v>225</v>
      </c>
      <c r="H22" s="28">
        <f>+Admin!G16</f>
        <v>225</v>
      </c>
      <c r="I22" s="28">
        <f>+Admin!H16</f>
        <v>225</v>
      </c>
      <c r="J22" s="28">
        <f>+Admin!I16</f>
        <v>200</v>
      </c>
      <c r="K22" s="28">
        <f>+Admin!J16</f>
        <v>190</v>
      </c>
      <c r="L22" s="27"/>
      <c r="M22" s="28">
        <f>+Admin!K16</f>
        <v>190</v>
      </c>
      <c r="N22" s="27"/>
      <c r="O22" s="28">
        <f>+Admin!L16</f>
        <v>200</v>
      </c>
      <c r="P22" s="33"/>
      <c r="Q22" s="32">
        <v>175</v>
      </c>
      <c r="R22" s="33"/>
      <c r="S22" s="32">
        <f>+Admin!M16</f>
        <v>175</v>
      </c>
      <c r="T22" s="29"/>
      <c r="U22" s="30">
        <v>175</v>
      </c>
      <c r="V22" s="29"/>
      <c r="W22" s="30">
        <v>175</v>
      </c>
      <c r="X22" s="31"/>
      <c r="Y22" s="32">
        <v>175</v>
      </c>
      <c r="Z22" s="33"/>
      <c r="AA22" s="32">
        <v>0</v>
      </c>
      <c r="AB22" s="34"/>
      <c r="AC22" s="28">
        <v>0</v>
      </c>
      <c r="AD22" s="34"/>
      <c r="AE22" s="28">
        <v>175</v>
      </c>
      <c r="AF22" s="35"/>
      <c r="AG22" s="36">
        <v>150</v>
      </c>
      <c r="AH22" s="35"/>
      <c r="AI22" s="36">
        <v>300</v>
      </c>
      <c r="AJ22" s="37">
        <v>150</v>
      </c>
      <c r="AK22" s="37">
        <v>125</v>
      </c>
      <c r="AL22" s="37">
        <v>250</v>
      </c>
    </row>
    <row r="23" spans="1:42" x14ac:dyDescent="0.2">
      <c r="A23" s="25" t="s">
        <v>38</v>
      </c>
      <c r="B23" s="25" t="s">
        <v>14</v>
      </c>
      <c r="C23" s="25"/>
      <c r="D23" s="25" t="s">
        <v>15</v>
      </c>
      <c r="E23" s="25">
        <v>53</v>
      </c>
      <c r="F23" s="26"/>
      <c r="G23" s="28"/>
      <c r="H23" s="28"/>
      <c r="I23" s="28"/>
      <c r="J23" s="28"/>
      <c r="K23" s="28"/>
      <c r="L23" s="27"/>
      <c r="M23" s="28"/>
      <c r="N23" s="27"/>
      <c r="O23" s="28"/>
      <c r="P23" s="33"/>
      <c r="Q23" s="32"/>
      <c r="R23" s="33"/>
      <c r="S23" s="32"/>
      <c r="T23" s="29"/>
      <c r="U23" s="30"/>
      <c r="V23" s="29"/>
      <c r="W23" s="30"/>
      <c r="X23" s="31"/>
      <c r="Y23" s="32"/>
      <c r="Z23" s="33"/>
      <c r="AA23" s="32"/>
      <c r="AB23" s="34"/>
      <c r="AC23" s="28"/>
      <c r="AD23" s="34"/>
      <c r="AE23" s="28"/>
      <c r="AF23" s="35"/>
      <c r="AG23" s="36"/>
      <c r="AH23" s="35"/>
      <c r="AI23" s="36"/>
      <c r="AJ23" s="37"/>
      <c r="AK23" s="37"/>
      <c r="AL23" s="37"/>
    </row>
    <row r="24" spans="1:42" x14ac:dyDescent="0.2">
      <c r="A24" s="25" t="s">
        <v>39</v>
      </c>
      <c r="B24" s="25" t="s">
        <v>14</v>
      </c>
      <c r="C24" s="25"/>
      <c r="D24" s="25" t="s">
        <v>15</v>
      </c>
      <c r="E24" s="25">
        <v>54</v>
      </c>
      <c r="F24" s="41" t="s">
        <v>40</v>
      </c>
      <c r="G24" s="28">
        <f>Social!F3</f>
        <v>4500</v>
      </c>
      <c r="H24" s="28">
        <f>Social!G3</f>
        <v>4532.6899999999996</v>
      </c>
      <c r="I24" s="28">
        <f>Social!H3</f>
        <v>0</v>
      </c>
      <c r="J24" s="28">
        <f>Social!I3</f>
        <v>4310</v>
      </c>
      <c r="K24" s="28">
        <f>Social!J3</f>
        <v>3781.32</v>
      </c>
      <c r="L24" s="27">
        <f>Social!K8</f>
        <v>3252</v>
      </c>
      <c r="M24" s="28">
        <f>+Social!K3</f>
        <v>5024.62</v>
      </c>
      <c r="N24" s="27">
        <f>Social!L8</f>
        <v>2425</v>
      </c>
      <c r="O24" s="28">
        <f>+Social!L3</f>
        <v>2927.42</v>
      </c>
      <c r="P24" s="33">
        <f>+Q24-Q60</f>
        <v>600</v>
      </c>
      <c r="Q24" s="32">
        <v>2700</v>
      </c>
      <c r="R24" s="33">
        <f>+S24-S60</f>
        <v>1569</v>
      </c>
      <c r="S24" s="32">
        <f>+Social!M3</f>
        <v>4470</v>
      </c>
      <c r="T24" s="29">
        <f>+U24-U60</f>
        <v>400</v>
      </c>
      <c r="U24" s="30">
        <v>2500</v>
      </c>
      <c r="V24" s="29">
        <f>+W24-W60</f>
        <v>1581.6099999999997</v>
      </c>
      <c r="W24" s="30">
        <v>4688.6099999999997</v>
      </c>
      <c r="X24" s="31">
        <f>+Y24-Y60</f>
        <v>600</v>
      </c>
      <c r="Y24" s="32">
        <v>2500</v>
      </c>
      <c r="Z24" s="33">
        <f>+AA24-AA60</f>
        <v>239.21000000000004</v>
      </c>
      <c r="AA24" s="32">
        <v>2275</v>
      </c>
      <c r="AB24" s="34">
        <f>+AC24-AC60</f>
        <v>600</v>
      </c>
      <c r="AC24" s="28">
        <v>2200</v>
      </c>
      <c r="AD24" s="34">
        <f>+AE24-AE60</f>
        <v>118.76999999999998</v>
      </c>
      <c r="AE24" s="28">
        <v>2238.77</v>
      </c>
      <c r="AF24" s="35">
        <f>+AG24-AG60</f>
        <v>300</v>
      </c>
      <c r="AG24" s="36">
        <v>1500</v>
      </c>
      <c r="AH24" s="35">
        <f>+AI24-AI60</f>
        <v>511.42000000000007</v>
      </c>
      <c r="AI24" s="36">
        <v>2176.42</v>
      </c>
      <c r="AJ24" s="37">
        <v>1385</v>
      </c>
      <c r="AK24" s="37">
        <v>1926</v>
      </c>
      <c r="AL24" s="37">
        <v>131</v>
      </c>
    </row>
    <row r="25" spans="1:42" x14ac:dyDescent="0.2">
      <c r="A25" s="25" t="s">
        <v>41</v>
      </c>
      <c r="B25" s="25" t="s">
        <v>14</v>
      </c>
      <c r="C25" s="25"/>
      <c r="D25" s="25" t="s">
        <v>15</v>
      </c>
      <c r="E25" s="25">
        <v>55</v>
      </c>
      <c r="F25" s="41" t="s">
        <v>40</v>
      </c>
      <c r="G25" s="28">
        <f>Social!F4</f>
        <v>0</v>
      </c>
      <c r="H25" s="28">
        <f>Social!G4</f>
        <v>0</v>
      </c>
      <c r="I25" s="28">
        <f>Social!H4</f>
        <v>500</v>
      </c>
      <c r="J25" s="28">
        <f>Social!I4</f>
        <v>3077</v>
      </c>
      <c r="K25" s="28">
        <f>Social!J4</f>
        <v>3728.91</v>
      </c>
      <c r="L25" s="27">
        <f>Social!K9</f>
        <v>2733</v>
      </c>
      <c r="M25" s="28">
        <f>+Social!K4</f>
        <v>6041.2</v>
      </c>
      <c r="N25" s="27">
        <f>Social!L9</f>
        <v>4003.32</v>
      </c>
      <c r="O25" s="28">
        <f>+Social!L4</f>
        <v>7414.79</v>
      </c>
      <c r="P25" s="33">
        <f t="shared" ref="P25:R26" si="0">+Q25-Q61</f>
        <v>796</v>
      </c>
      <c r="Q25" s="32">
        <v>3096</v>
      </c>
      <c r="R25" s="33">
        <f t="shared" si="0"/>
        <v>1140.4000000000001</v>
      </c>
      <c r="S25" s="32">
        <f>+Social!M4</f>
        <v>3208.4</v>
      </c>
      <c r="T25" s="29">
        <f>+U25-U61</f>
        <v>200</v>
      </c>
      <c r="U25" s="30">
        <v>2500</v>
      </c>
      <c r="V25" s="29">
        <f>+W25-W61</f>
        <v>1101.8800000000001</v>
      </c>
      <c r="W25" s="30">
        <v>3910.88</v>
      </c>
      <c r="X25" s="31">
        <f>+Y25-Y61</f>
        <v>400</v>
      </c>
      <c r="Y25" s="32">
        <v>2500</v>
      </c>
      <c r="Z25" s="33">
        <f>+AA25-AA61</f>
        <v>210.57999999999993</v>
      </c>
      <c r="AA25" s="32">
        <v>2549.58</v>
      </c>
      <c r="AB25" s="34">
        <f>+AC25-AC61</f>
        <v>400</v>
      </c>
      <c r="AC25" s="28">
        <v>2200</v>
      </c>
      <c r="AD25" s="34">
        <f>+AE25-AE61</f>
        <v>2090.9499999999998</v>
      </c>
      <c r="AE25" s="28">
        <v>4225.95</v>
      </c>
      <c r="AF25" s="35">
        <f>+AG25-AG61</f>
        <v>500</v>
      </c>
      <c r="AG25" s="36">
        <v>2000</v>
      </c>
      <c r="AH25" s="35">
        <f>+AI25-AI61</f>
        <v>1863.3600000000001</v>
      </c>
      <c r="AI25" s="36">
        <v>3698.36</v>
      </c>
      <c r="AJ25" s="37">
        <v>2010</v>
      </c>
      <c r="AK25" s="37">
        <v>1584</v>
      </c>
      <c r="AL25" s="37">
        <v>3853</v>
      </c>
      <c r="AP25" s="42"/>
    </row>
    <row r="26" spans="1:42" x14ac:dyDescent="0.2">
      <c r="A26" s="25" t="s">
        <v>42</v>
      </c>
      <c r="B26" s="25" t="s">
        <v>14</v>
      </c>
      <c r="C26" s="25" t="s">
        <v>43</v>
      </c>
      <c r="D26" s="25" t="s">
        <v>15</v>
      </c>
      <c r="E26" s="25">
        <v>56</v>
      </c>
      <c r="F26" s="41" t="s">
        <v>40</v>
      </c>
      <c r="G26" s="28">
        <f>Social!F5</f>
        <v>50</v>
      </c>
      <c r="H26" s="28">
        <f>Social!G5</f>
        <v>0</v>
      </c>
      <c r="I26" s="28">
        <f>Social!H5</f>
        <v>197.2</v>
      </c>
      <c r="J26" s="28">
        <f>Social!I5</f>
        <v>339.3</v>
      </c>
      <c r="K26" s="28">
        <f>Social!J5</f>
        <v>325</v>
      </c>
      <c r="L26" s="28">
        <f>+Social!K10+Social!K12</f>
        <v>170</v>
      </c>
      <c r="M26" s="28">
        <f>+Social!K5+Social!K7</f>
        <v>767.29</v>
      </c>
      <c r="N26" s="28">
        <f>+Social!L10+Social!L11+Social!L12</f>
        <v>240</v>
      </c>
      <c r="O26" s="28">
        <f>+Social!L5+Social!L6+Social!L7</f>
        <v>1108</v>
      </c>
      <c r="P26" s="33">
        <f t="shared" si="0"/>
        <v>200</v>
      </c>
      <c r="Q26" s="32">
        <v>900</v>
      </c>
      <c r="R26" s="33">
        <f t="shared" si="0"/>
        <v>352.67999999999995</v>
      </c>
      <c r="S26" s="32">
        <f>+Social!M5+Social!M6</f>
        <v>747.68</v>
      </c>
      <c r="T26" s="29">
        <f>+U26-U62</f>
        <v>200</v>
      </c>
      <c r="U26" s="30">
        <v>900</v>
      </c>
      <c r="V26" s="29">
        <f>+W26-W62</f>
        <v>295.27999999999997</v>
      </c>
      <c r="W26" s="30">
        <v>610.28</v>
      </c>
      <c r="X26" s="31">
        <f>+Y26-Y62</f>
        <v>100</v>
      </c>
      <c r="Y26" s="32">
        <v>900</v>
      </c>
      <c r="Z26" s="33">
        <f>+AA26-AA62</f>
        <v>190.90999999999997</v>
      </c>
      <c r="AA26" s="32">
        <v>759.91</v>
      </c>
      <c r="AB26" s="34">
        <f>+AC26-AC62</f>
        <v>50</v>
      </c>
      <c r="AC26" s="28">
        <v>800</v>
      </c>
      <c r="AD26" s="34">
        <f>+AE26-AE62</f>
        <v>593.91</v>
      </c>
      <c r="AE26" s="28">
        <v>853.91</v>
      </c>
      <c r="AF26" s="35">
        <f>+AG26-AG62</f>
        <v>200</v>
      </c>
      <c r="AG26" s="36">
        <v>1200</v>
      </c>
      <c r="AH26" s="35">
        <f>+AI26-AI62</f>
        <v>520.58000000000004</v>
      </c>
      <c r="AI26" s="36">
        <v>660.58</v>
      </c>
      <c r="AJ26" s="37">
        <f>660+362+183</f>
        <v>1205</v>
      </c>
      <c r="AK26" s="37">
        <f>81+23</f>
        <v>104</v>
      </c>
      <c r="AL26" s="37">
        <f>369+100+500+700</f>
        <v>1669</v>
      </c>
    </row>
    <row r="27" spans="1:42" x14ac:dyDescent="0.2">
      <c r="A27" s="25" t="s">
        <v>44</v>
      </c>
      <c r="B27" s="25" t="s">
        <v>14</v>
      </c>
      <c r="C27" s="25"/>
      <c r="D27" s="25" t="s">
        <v>15</v>
      </c>
      <c r="E27" s="25">
        <v>57</v>
      </c>
      <c r="F27" s="26"/>
      <c r="G27" s="28"/>
      <c r="H27" s="28"/>
      <c r="I27" s="28"/>
      <c r="J27" s="28"/>
      <c r="K27" s="28"/>
      <c r="L27" s="27"/>
      <c r="M27" s="28"/>
      <c r="N27" s="27"/>
      <c r="O27" s="28"/>
      <c r="P27" s="33"/>
      <c r="Q27" s="32"/>
      <c r="R27" s="33"/>
      <c r="S27" s="32"/>
      <c r="T27" s="29"/>
      <c r="U27" s="30"/>
      <c r="V27" s="29"/>
      <c r="W27" s="30"/>
      <c r="X27" s="31"/>
      <c r="Y27" s="32"/>
      <c r="Z27" s="33"/>
      <c r="AA27" s="32"/>
      <c r="AB27" s="34"/>
      <c r="AC27" s="28"/>
      <c r="AD27" s="34"/>
      <c r="AE27" s="28"/>
      <c r="AF27" s="35"/>
      <c r="AG27" s="36"/>
      <c r="AH27" s="35"/>
      <c r="AI27" s="36"/>
      <c r="AJ27" s="37"/>
      <c r="AK27" s="37"/>
      <c r="AL27" s="37"/>
    </row>
    <row r="28" spans="1:42" x14ac:dyDescent="0.2">
      <c r="A28" s="25" t="s">
        <v>45</v>
      </c>
      <c r="B28" s="25" t="s">
        <v>14</v>
      </c>
      <c r="C28" s="25"/>
      <c r="D28" s="25" t="s">
        <v>15</v>
      </c>
      <c r="E28" s="25">
        <v>58</v>
      </c>
      <c r="F28" s="43" t="s">
        <v>44</v>
      </c>
      <c r="G28" s="28">
        <f>Facilities!F3</f>
        <v>1520</v>
      </c>
      <c r="H28" s="28">
        <f>Facilities!G3</f>
        <v>4682</v>
      </c>
      <c r="I28" s="28">
        <f>Facilities!H3</f>
        <v>400</v>
      </c>
      <c r="J28" s="28">
        <f>Facilities!I3</f>
        <v>2252</v>
      </c>
      <c r="K28" s="28">
        <f>Facilities!J3</f>
        <v>275</v>
      </c>
      <c r="L28" s="28">
        <f>Facilities!K5</f>
        <v>0</v>
      </c>
      <c r="M28" s="28">
        <f>Facilities!K3</f>
        <v>1291.49</v>
      </c>
      <c r="N28" s="27"/>
      <c r="O28" s="28">
        <f>Facilities!L3</f>
        <v>128.94</v>
      </c>
      <c r="P28" s="33"/>
      <c r="Q28" s="32">
        <v>500</v>
      </c>
      <c r="R28" s="33"/>
      <c r="S28" s="32">
        <f>+Facilities!M3</f>
        <v>1463.58</v>
      </c>
      <c r="T28" s="29"/>
      <c r="U28" s="30">
        <v>350</v>
      </c>
      <c r="V28" s="29"/>
      <c r="W28" s="30">
        <v>0</v>
      </c>
      <c r="X28" s="31"/>
      <c r="Y28" s="32">
        <v>0</v>
      </c>
      <c r="Z28" s="33"/>
      <c r="AA28" s="32">
        <v>0</v>
      </c>
      <c r="AB28" s="34"/>
      <c r="AC28" s="28">
        <v>1500</v>
      </c>
      <c r="AD28" s="34"/>
      <c r="AE28" s="28">
        <v>2641.25</v>
      </c>
      <c r="AF28" s="35"/>
      <c r="AG28" s="36">
        <v>0</v>
      </c>
      <c r="AH28" s="35"/>
      <c r="AI28" s="36"/>
      <c r="AJ28" s="37"/>
      <c r="AK28" s="37">
        <v>1140</v>
      </c>
      <c r="AL28" s="37"/>
      <c r="AP28" s="42"/>
    </row>
    <row r="29" spans="1:42" x14ac:dyDescent="0.2">
      <c r="A29" s="25" t="s">
        <v>46</v>
      </c>
      <c r="B29" s="25" t="s">
        <v>14</v>
      </c>
      <c r="C29" s="25" t="s">
        <v>46</v>
      </c>
      <c r="D29" s="25" t="s">
        <v>15</v>
      </c>
      <c r="E29" s="25">
        <v>59</v>
      </c>
      <c r="F29" s="26"/>
      <c r="G29" s="28"/>
      <c r="H29" s="28"/>
      <c r="I29" s="28"/>
      <c r="J29" s="28"/>
      <c r="K29" s="28"/>
      <c r="L29" s="27"/>
      <c r="M29" s="28"/>
      <c r="N29" s="27"/>
      <c r="O29" s="28"/>
      <c r="P29" s="33"/>
      <c r="Q29" s="32"/>
      <c r="R29" s="33"/>
      <c r="S29" s="32"/>
      <c r="T29" s="29"/>
      <c r="U29" s="30"/>
      <c r="V29" s="29"/>
      <c r="W29" s="30"/>
      <c r="X29" s="31"/>
      <c r="Y29" s="32"/>
      <c r="Z29" s="33"/>
      <c r="AA29" s="32"/>
      <c r="AB29" s="34"/>
      <c r="AC29" s="28"/>
      <c r="AD29" s="34"/>
      <c r="AE29" s="28"/>
      <c r="AF29" s="35"/>
      <c r="AG29" s="36"/>
      <c r="AH29" s="35"/>
      <c r="AI29" s="36"/>
      <c r="AJ29" s="37"/>
      <c r="AK29" s="37"/>
      <c r="AL29" s="37"/>
    </row>
    <row r="30" spans="1:42" x14ac:dyDescent="0.2">
      <c r="A30" s="25" t="s">
        <v>47</v>
      </c>
      <c r="B30" s="25" t="s">
        <v>14</v>
      </c>
      <c r="C30" s="25"/>
      <c r="D30" s="25" t="s">
        <v>15</v>
      </c>
      <c r="E30" s="25">
        <v>60</v>
      </c>
      <c r="F30" s="39" t="s">
        <v>18</v>
      </c>
      <c r="G30" s="28">
        <f>+Admin!F17</f>
        <v>700</v>
      </c>
      <c r="H30" s="28">
        <f>+Admin!G17</f>
        <v>0</v>
      </c>
      <c r="I30" s="28">
        <f>+Admin!H17</f>
        <v>0</v>
      </c>
      <c r="J30" s="28">
        <f>+Admin!I17</f>
        <v>0</v>
      </c>
      <c r="K30" s="28">
        <f>+Admin!J17</f>
        <v>0</v>
      </c>
      <c r="L30" s="27"/>
      <c r="M30" s="28">
        <f>+Admin!K17</f>
        <v>2479</v>
      </c>
      <c r="N30" s="27"/>
      <c r="O30" s="28">
        <f>+Admin!L17</f>
        <v>826</v>
      </c>
      <c r="P30" s="33"/>
      <c r="Q30" s="32">
        <v>1200</v>
      </c>
      <c r="R30" s="33"/>
      <c r="S30" s="32">
        <f>+Admin!M17</f>
        <v>1059</v>
      </c>
      <c r="T30" s="29"/>
      <c r="U30" s="30">
        <v>900</v>
      </c>
      <c r="V30" s="29"/>
      <c r="W30" s="30">
        <v>1009</v>
      </c>
      <c r="X30" s="31"/>
      <c r="Y30" s="32">
        <v>900</v>
      </c>
      <c r="Z30" s="33"/>
      <c r="AA30" s="32">
        <v>908</v>
      </c>
      <c r="AB30" s="34"/>
      <c r="AC30" s="28">
        <v>605</v>
      </c>
      <c r="AD30" s="34"/>
      <c r="AE30" s="28">
        <v>844</v>
      </c>
      <c r="AF30" s="35"/>
      <c r="AG30" s="36">
        <v>600</v>
      </c>
      <c r="AH30" s="35"/>
      <c r="AI30" s="36">
        <v>605</v>
      </c>
      <c r="AJ30" s="37">
        <v>2114</v>
      </c>
      <c r="AK30" s="37">
        <v>570</v>
      </c>
      <c r="AL30" s="37"/>
    </row>
    <row r="31" spans="1:42" x14ac:dyDescent="0.2">
      <c r="A31" s="25" t="s">
        <v>48</v>
      </c>
      <c r="B31" s="25" t="s">
        <v>14</v>
      </c>
      <c r="C31" s="25"/>
      <c r="D31" s="25" t="s">
        <v>15</v>
      </c>
      <c r="E31" s="25">
        <v>61</v>
      </c>
      <c r="F31" s="44" t="s">
        <v>49</v>
      </c>
      <c r="G31" s="28">
        <f>+Shields!F3</f>
        <v>450</v>
      </c>
      <c r="H31" s="28">
        <f>+Shields!G3</f>
        <v>1252</v>
      </c>
      <c r="I31" s="28">
        <f>+Shields!H3</f>
        <v>0</v>
      </c>
      <c r="J31" s="28">
        <f>+Shields!I3</f>
        <v>2616</v>
      </c>
      <c r="K31" s="28">
        <f>+Shields!J3</f>
        <v>2534</v>
      </c>
      <c r="L31" s="27"/>
      <c r="M31" s="28">
        <f>+Shields!K3</f>
        <v>0</v>
      </c>
      <c r="N31" s="28">
        <f>+Shields!K8</f>
        <v>1019</v>
      </c>
      <c r="O31" s="28">
        <f>+Shields!L3</f>
        <v>1287</v>
      </c>
      <c r="P31" s="33">
        <f>+Q31-Q64</f>
        <v>0</v>
      </c>
      <c r="Q31" s="32">
        <v>1575</v>
      </c>
      <c r="R31" s="33">
        <f>+S31-S64</f>
        <v>40</v>
      </c>
      <c r="S31" s="32">
        <v>1600</v>
      </c>
      <c r="T31" s="29">
        <f>+U31-U64</f>
        <v>0</v>
      </c>
      <c r="U31" s="30">
        <v>1600</v>
      </c>
      <c r="V31" s="29">
        <f>+W31-W64</f>
        <v>-6</v>
      </c>
      <c r="W31" s="30">
        <v>1569</v>
      </c>
      <c r="X31" s="31">
        <f>+Y31-Y64</f>
        <v>0</v>
      </c>
      <c r="Y31" s="32">
        <v>1200</v>
      </c>
      <c r="Z31" s="33">
        <f>+AA31-AA64</f>
        <v>-13</v>
      </c>
      <c r="AA31" s="32">
        <v>1547</v>
      </c>
      <c r="AB31" s="34">
        <f>+AC31-AC64</f>
        <v>440</v>
      </c>
      <c r="AC31" s="28">
        <v>1400</v>
      </c>
      <c r="AD31" s="34">
        <f>+AE31-AE64</f>
        <v>-210</v>
      </c>
      <c r="AE31" s="28">
        <v>1046</v>
      </c>
      <c r="AF31" s="35">
        <f>+AG31-AG64</f>
        <v>0</v>
      </c>
      <c r="AG31" s="36">
        <v>1400</v>
      </c>
      <c r="AH31" s="35">
        <f>+AI31-AI64</f>
        <v>156.97000000000003</v>
      </c>
      <c r="AI31" s="36">
        <v>1114</v>
      </c>
      <c r="AJ31" s="37"/>
      <c r="AK31" s="37">
        <v>1442</v>
      </c>
      <c r="AL31" s="37">
        <v>1938</v>
      </c>
      <c r="AP31" s="42"/>
    </row>
    <row r="32" spans="1:42" x14ac:dyDescent="0.2">
      <c r="A32" s="25" t="s">
        <v>50</v>
      </c>
      <c r="B32" s="25" t="s">
        <v>14</v>
      </c>
      <c r="C32" s="25"/>
      <c r="D32" s="25" t="s">
        <v>15</v>
      </c>
      <c r="E32" s="25">
        <v>62</v>
      </c>
      <c r="F32" s="39" t="s">
        <v>18</v>
      </c>
      <c r="G32" s="28">
        <f>+Admin!F18</f>
        <v>0</v>
      </c>
      <c r="H32" s="28">
        <f>+Admin!G19</f>
        <v>0</v>
      </c>
      <c r="I32" s="28">
        <f>+Admin!H18</f>
        <v>0</v>
      </c>
      <c r="J32" s="28">
        <f>+Admin!I18</f>
        <v>0</v>
      </c>
      <c r="K32" s="28">
        <f>+Admin!J18</f>
        <v>0</v>
      </c>
      <c r="L32" s="27"/>
      <c r="M32" s="28">
        <f>+Admin!K18</f>
        <v>0</v>
      </c>
      <c r="N32" s="27"/>
      <c r="O32" s="28">
        <f>+Admin!L18</f>
        <v>43.54</v>
      </c>
      <c r="P32" s="33"/>
      <c r="Q32" s="32">
        <v>100</v>
      </c>
      <c r="R32" s="33"/>
      <c r="S32" s="32">
        <f>+Admin!M18</f>
        <v>0</v>
      </c>
      <c r="T32" s="29"/>
      <c r="U32" s="30">
        <v>50</v>
      </c>
      <c r="V32" s="29"/>
      <c r="W32" s="30">
        <v>104.91</v>
      </c>
      <c r="X32" s="31"/>
      <c r="Y32" s="32">
        <v>50</v>
      </c>
      <c r="Z32" s="33"/>
      <c r="AA32" s="32">
        <v>0</v>
      </c>
      <c r="AB32" s="34"/>
      <c r="AC32" s="28"/>
      <c r="AD32" s="34"/>
      <c r="AE32" s="28">
        <v>57.5</v>
      </c>
      <c r="AF32" s="35"/>
      <c r="AG32" s="36"/>
      <c r="AH32" s="35"/>
      <c r="AI32" s="36"/>
      <c r="AJ32" s="37"/>
      <c r="AK32" s="37"/>
      <c r="AL32" s="37"/>
    </row>
    <row r="33" spans="1:38" x14ac:dyDescent="0.2">
      <c r="A33" s="25" t="s">
        <v>51</v>
      </c>
      <c r="B33" s="25" t="s">
        <v>14</v>
      </c>
      <c r="C33" s="25"/>
      <c r="D33" s="25" t="s">
        <v>15</v>
      </c>
      <c r="E33" s="25">
        <v>63</v>
      </c>
      <c r="F33" s="26"/>
      <c r="G33" s="28"/>
      <c r="H33" s="28"/>
      <c r="I33" s="28"/>
      <c r="J33" s="28"/>
      <c r="K33" s="28"/>
      <c r="L33" s="27"/>
      <c r="M33" s="28"/>
      <c r="N33" s="27"/>
      <c r="O33" s="28"/>
      <c r="P33" s="33"/>
      <c r="Q33" s="32"/>
      <c r="R33" s="33"/>
      <c r="S33" s="32"/>
      <c r="T33" s="29"/>
      <c r="U33" s="30"/>
      <c r="V33" s="29"/>
      <c r="W33" s="30"/>
      <c r="X33" s="31"/>
      <c r="Y33" s="32"/>
      <c r="Z33" s="33"/>
      <c r="AA33" s="32"/>
      <c r="AB33" s="34"/>
      <c r="AC33" s="28"/>
      <c r="AD33" s="34"/>
      <c r="AE33" s="28"/>
      <c r="AF33" s="35"/>
      <c r="AG33" s="36"/>
      <c r="AH33" s="35"/>
      <c r="AI33" s="36"/>
      <c r="AJ33" s="37"/>
      <c r="AK33" s="37"/>
      <c r="AL33" s="37"/>
    </row>
    <row r="34" spans="1:38" x14ac:dyDescent="0.2">
      <c r="A34" s="25" t="s">
        <v>32</v>
      </c>
      <c r="B34" s="25" t="s">
        <v>14</v>
      </c>
      <c r="C34" s="25"/>
      <c r="D34" s="25" t="s">
        <v>15</v>
      </c>
      <c r="E34" s="25">
        <v>64</v>
      </c>
      <c r="F34" s="45" t="s">
        <v>52</v>
      </c>
      <c r="G34" s="28">
        <f>+Power!F3</f>
        <v>0</v>
      </c>
      <c r="H34" s="28">
        <f>+Power!G3</f>
        <v>0</v>
      </c>
      <c r="I34" s="28">
        <f>+Power!H3</f>
        <v>0</v>
      </c>
      <c r="J34" s="28">
        <f>+Power!I3</f>
        <v>0</v>
      </c>
      <c r="K34" s="28">
        <f>+Power!J3</f>
        <v>0</v>
      </c>
      <c r="L34" s="27"/>
      <c r="M34" s="28">
        <f>+Power!K3</f>
        <v>0</v>
      </c>
      <c r="N34" s="27"/>
      <c r="O34" s="28">
        <f>+Power!L3</f>
        <v>0</v>
      </c>
      <c r="P34" s="33"/>
      <c r="Q34" s="32">
        <v>600</v>
      </c>
      <c r="R34" s="33"/>
      <c r="S34" s="32">
        <f>+Power!M3</f>
        <v>0</v>
      </c>
      <c r="T34" s="29"/>
      <c r="U34" s="30">
        <v>100</v>
      </c>
      <c r="V34" s="29"/>
      <c r="W34" s="30">
        <v>0</v>
      </c>
      <c r="X34" s="31"/>
      <c r="Y34" s="32">
        <v>100</v>
      </c>
      <c r="Z34" s="33"/>
      <c r="AA34" s="32">
        <v>0</v>
      </c>
      <c r="AB34" s="34"/>
      <c r="AC34" s="28">
        <v>100</v>
      </c>
      <c r="AD34" s="34"/>
      <c r="AE34" s="28">
        <v>37.93</v>
      </c>
      <c r="AF34" s="35"/>
      <c r="AG34" s="36">
        <v>100</v>
      </c>
      <c r="AH34" s="35"/>
      <c r="AI34" s="36"/>
      <c r="AJ34" s="37"/>
      <c r="AK34" s="37"/>
      <c r="AL34" s="37"/>
    </row>
    <row r="35" spans="1:38" x14ac:dyDescent="0.2">
      <c r="A35" s="25" t="s">
        <v>53</v>
      </c>
      <c r="B35" s="25" t="s">
        <v>14</v>
      </c>
      <c r="C35" s="25"/>
      <c r="D35" s="25" t="s">
        <v>15</v>
      </c>
      <c r="E35" s="25">
        <v>65</v>
      </c>
      <c r="F35" s="45" t="s">
        <v>52</v>
      </c>
      <c r="G35" s="28">
        <f>+Power!F4</f>
        <v>0</v>
      </c>
      <c r="H35" s="28">
        <f>+Power!G4</f>
        <v>0</v>
      </c>
      <c r="I35" s="28">
        <f>+Power!H4</f>
        <v>0</v>
      </c>
      <c r="J35" s="28">
        <f>+Power!I4</f>
        <v>0</v>
      </c>
      <c r="K35" s="28">
        <f>+Power!J4</f>
        <v>40</v>
      </c>
      <c r="L35" s="27"/>
      <c r="M35" s="28">
        <f>+Power!K5</f>
        <v>0</v>
      </c>
      <c r="N35" s="27"/>
      <c r="O35" s="28">
        <f>+Power!L5</f>
        <v>0</v>
      </c>
      <c r="P35" s="33"/>
      <c r="Q35" s="32">
        <v>0</v>
      </c>
      <c r="R35" s="33"/>
      <c r="S35" s="32">
        <f>+Power!M5</f>
        <v>0</v>
      </c>
      <c r="T35" s="29"/>
      <c r="U35" s="30">
        <v>0</v>
      </c>
      <c r="V35" s="29"/>
      <c r="W35" s="30">
        <v>0</v>
      </c>
      <c r="X35" s="31"/>
      <c r="Y35" s="32">
        <v>100</v>
      </c>
      <c r="Z35" s="33"/>
      <c r="AA35" s="32">
        <v>27.25</v>
      </c>
      <c r="AB35" s="34"/>
      <c r="AC35" s="28">
        <v>100</v>
      </c>
      <c r="AD35" s="34"/>
      <c r="AE35" s="28">
        <v>0</v>
      </c>
      <c r="AF35" s="35"/>
      <c r="AG35" s="36">
        <v>100</v>
      </c>
      <c r="AH35" s="35"/>
      <c r="AI35" s="36"/>
      <c r="AJ35" s="37"/>
      <c r="AK35" s="37"/>
      <c r="AL35" s="37"/>
    </row>
    <row r="36" spans="1:38" x14ac:dyDescent="0.2">
      <c r="A36" s="25" t="s">
        <v>54</v>
      </c>
      <c r="B36" s="25" t="s">
        <v>14</v>
      </c>
      <c r="C36" s="25"/>
      <c r="D36" s="25" t="s">
        <v>15</v>
      </c>
      <c r="E36" s="25">
        <v>66</v>
      </c>
      <c r="F36" s="26"/>
      <c r="G36" s="28"/>
      <c r="H36" s="28"/>
      <c r="I36" s="28"/>
      <c r="J36" s="28"/>
      <c r="K36" s="28"/>
      <c r="L36" s="27"/>
      <c r="M36" s="28"/>
      <c r="N36" s="27"/>
      <c r="O36" s="28"/>
      <c r="P36" s="33"/>
      <c r="Q36" s="32"/>
      <c r="R36" s="33"/>
      <c r="S36" s="32"/>
      <c r="T36" s="29"/>
      <c r="U36" s="30"/>
      <c r="V36" s="29"/>
      <c r="W36" s="30"/>
      <c r="X36" s="31"/>
      <c r="Y36" s="32"/>
      <c r="Z36" s="33"/>
      <c r="AA36" s="32"/>
      <c r="AB36" s="34"/>
      <c r="AC36" s="28"/>
      <c r="AD36" s="34"/>
      <c r="AE36" s="28"/>
      <c r="AF36" s="35"/>
      <c r="AG36" s="36"/>
      <c r="AH36" s="35"/>
      <c r="AI36" s="36"/>
      <c r="AJ36" s="37"/>
      <c r="AK36" s="37"/>
      <c r="AL36" s="37"/>
    </row>
    <row r="37" spans="1:38" x14ac:dyDescent="0.2">
      <c r="A37" s="25" t="s">
        <v>55</v>
      </c>
      <c r="B37" s="25" t="s">
        <v>14</v>
      </c>
      <c r="C37" s="25"/>
      <c r="D37" s="25" t="s">
        <v>15</v>
      </c>
      <c r="E37" s="25">
        <v>67</v>
      </c>
      <c r="F37" s="44" t="s">
        <v>49</v>
      </c>
      <c r="G37" s="28">
        <f>+Shields!F5</f>
        <v>0</v>
      </c>
      <c r="H37" s="28">
        <f>+Shields!G5</f>
        <v>0</v>
      </c>
      <c r="I37" s="28">
        <f>+Shields!H5</f>
        <v>0</v>
      </c>
      <c r="J37" s="28">
        <f>+Shields!I5</f>
        <v>0</v>
      </c>
      <c r="K37" s="28">
        <f>+Shields!J5</f>
        <v>0</v>
      </c>
      <c r="L37" s="27"/>
      <c r="M37" s="28">
        <f>+Shields!K5</f>
        <v>50</v>
      </c>
      <c r="N37" s="27"/>
      <c r="O37" s="28">
        <f>+Shields!L5</f>
        <v>50</v>
      </c>
      <c r="P37" s="33">
        <f>+Q37-Q75</f>
        <v>-70</v>
      </c>
      <c r="Q37" s="32">
        <v>50</v>
      </c>
      <c r="R37" s="33">
        <f>+S37-S75</f>
        <v>-120</v>
      </c>
      <c r="S37" s="32">
        <f>+Shields!M5</f>
        <v>0</v>
      </c>
      <c r="T37" s="29">
        <f>+U37-U75</f>
        <v>50</v>
      </c>
      <c r="U37" s="30">
        <v>50</v>
      </c>
      <c r="V37" s="29">
        <f>+W37-W75</f>
        <v>-50</v>
      </c>
      <c r="W37" s="30">
        <v>50</v>
      </c>
      <c r="X37" s="31">
        <f>+Y37-Y75</f>
        <v>0</v>
      </c>
      <c r="Y37" s="32">
        <v>450</v>
      </c>
      <c r="Z37" s="33">
        <f>+AA37-AA75</f>
        <v>65</v>
      </c>
      <c r="AA37" s="32">
        <v>725</v>
      </c>
      <c r="AB37" s="34">
        <f>+AC37-AC75</f>
        <v>0</v>
      </c>
      <c r="AC37" s="28">
        <v>750</v>
      </c>
      <c r="AD37" s="34">
        <f>+AE37-AE75</f>
        <v>215</v>
      </c>
      <c r="AE37" s="28">
        <v>410</v>
      </c>
      <c r="AF37" s="35">
        <f>+AG37-AG75</f>
        <v>0</v>
      </c>
      <c r="AG37" s="36">
        <v>750</v>
      </c>
      <c r="AH37" s="35">
        <f>+AI37-AI75</f>
        <v>-30</v>
      </c>
      <c r="AI37" s="36">
        <v>390</v>
      </c>
      <c r="AJ37" s="37">
        <f>690+50</f>
        <v>740</v>
      </c>
      <c r="AK37" s="37">
        <f>45+540</f>
        <v>585</v>
      </c>
      <c r="AL37" s="37">
        <v>115</v>
      </c>
    </row>
    <row r="38" spans="1:38" x14ac:dyDescent="0.2">
      <c r="A38" s="25" t="s">
        <v>56</v>
      </c>
      <c r="B38" s="25" t="s">
        <v>14</v>
      </c>
      <c r="C38" s="25"/>
      <c r="D38" s="25" t="s">
        <v>15</v>
      </c>
      <c r="E38" s="25">
        <v>68</v>
      </c>
      <c r="F38" s="46" t="s">
        <v>57</v>
      </c>
      <c r="G38" s="28">
        <f>+'Race Comm'!F3</f>
        <v>150</v>
      </c>
      <c r="H38" s="28">
        <f>+'Race Comm'!G3</f>
        <v>120.45</v>
      </c>
      <c r="I38" s="28">
        <f>+'Race Comm'!H3</f>
        <v>255.4</v>
      </c>
      <c r="J38" s="28">
        <f>+'Race Comm'!I3</f>
        <v>0</v>
      </c>
      <c r="K38" s="28">
        <f>+'Race Comm'!J3</f>
        <v>394.86</v>
      </c>
      <c r="L38" s="27"/>
      <c r="M38" s="28">
        <f>+'Race Comm'!K3</f>
        <v>331.43</v>
      </c>
      <c r="N38" s="27"/>
      <c r="O38" s="28">
        <f>+'Race Comm'!L3</f>
        <v>316.35000000000002</v>
      </c>
      <c r="P38" s="33"/>
      <c r="Q38" s="32">
        <v>725</v>
      </c>
      <c r="R38" s="33"/>
      <c r="S38" s="32">
        <f>+'Race Comm'!M3</f>
        <v>371.94</v>
      </c>
      <c r="T38" s="29"/>
      <c r="U38" s="30">
        <v>500</v>
      </c>
      <c r="V38" s="29"/>
      <c r="W38" s="30">
        <v>596.97</v>
      </c>
      <c r="X38" s="31"/>
      <c r="Y38" s="32">
        <v>450</v>
      </c>
      <c r="Z38" s="33"/>
      <c r="AA38" s="32">
        <v>482.04</v>
      </c>
      <c r="AB38" s="34"/>
      <c r="AC38" s="28">
        <v>450</v>
      </c>
      <c r="AD38" s="34"/>
      <c r="AE38" s="28">
        <v>396.57</v>
      </c>
      <c r="AF38" s="35"/>
      <c r="AG38" s="36">
        <v>450</v>
      </c>
      <c r="AH38" s="35"/>
      <c r="AI38" s="36">
        <v>323.2</v>
      </c>
      <c r="AJ38" s="37">
        <v>364</v>
      </c>
      <c r="AK38" s="37">
        <v>363</v>
      </c>
      <c r="AL38" s="37">
        <v>302</v>
      </c>
    </row>
    <row r="39" spans="1:38" x14ac:dyDescent="0.2">
      <c r="A39" s="38" t="s">
        <v>58</v>
      </c>
      <c r="B39" s="25" t="s">
        <v>14</v>
      </c>
      <c r="C39" s="25"/>
      <c r="D39" s="25" t="s">
        <v>15</v>
      </c>
      <c r="E39" s="25"/>
      <c r="F39" s="46" t="s">
        <v>57</v>
      </c>
      <c r="G39" s="28">
        <f>+'Race Comm'!F4</f>
        <v>350</v>
      </c>
      <c r="H39" s="28">
        <f>+'Race Comm'!G4</f>
        <v>0</v>
      </c>
      <c r="I39" s="28">
        <f>+'Race Comm'!H4</f>
        <v>0</v>
      </c>
      <c r="J39" s="28">
        <f>+'Race Comm'!I4</f>
        <v>0</v>
      </c>
      <c r="K39" s="28">
        <f>+'Race Comm'!J4</f>
        <v>560</v>
      </c>
      <c r="L39" s="27"/>
      <c r="M39" s="28">
        <f>+'Race Comm'!K4</f>
        <v>600</v>
      </c>
      <c r="N39" s="27"/>
      <c r="O39" s="28">
        <f>+'Race Comm'!L4</f>
        <v>0</v>
      </c>
      <c r="P39" s="33"/>
      <c r="Q39" s="32">
        <v>180</v>
      </c>
      <c r="R39" s="33"/>
      <c r="S39" s="32">
        <f>+'Race Comm'!M4</f>
        <v>0</v>
      </c>
      <c r="T39" s="29"/>
      <c r="U39" s="30"/>
      <c r="V39" s="29"/>
      <c r="W39" s="30"/>
      <c r="X39" s="31"/>
      <c r="Y39" s="32"/>
      <c r="Z39" s="33"/>
      <c r="AA39" s="32"/>
      <c r="AB39" s="34"/>
      <c r="AC39" s="28"/>
      <c r="AD39" s="34"/>
      <c r="AE39" s="28"/>
      <c r="AF39" s="35"/>
      <c r="AG39" s="36"/>
      <c r="AH39" s="35"/>
      <c r="AI39" s="36"/>
      <c r="AJ39" s="37"/>
      <c r="AK39" s="37"/>
      <c r="AL39" s="37"/>
    </row>
    <row r="40" spans="1:38" x14ac:dyDescent="0.2">
      <c r="A40" s="25" t="s">
        <v>59</v>
      </c>
      <c r="B40" s="25" t="s">
        <v>14</v>
      </c>
      <c r="C40" s="25"/>
      <c r="D40" s="25" t="s">
        <v>15</v>
      </c>
      <c r="E40" s="25">
        <v>69</v>
      </c>
      <c r="F40" s="47" t="s">
        <v>60</v>
      </c>
      <c r="G40" s="28">
        <f>+Rhodes!F3</f>
        <v>200</v>
      </c>
      <c r="H40" s="28">
        <f>+Rhodes!G3</f>
        <v>171</v>
      </c>
      <c r="I40" s="28">
        <f>+Rhodes!H3</f>
        <v>0</v>
      </c>
      <c r="J40" s="28">
        <f>+Rhodes!I3</f>
        <v>164</v>
      </c>
      <c r="K40" s="28">
        <f>+Rhodes!J3</f>
        <v>35</v>
      </c>
      <c r="L40" s="27"/>
      <c r="M40" s="28">
        <f>+Rhodes!K3</f>
        <v>324.77999999999997</v>
      </c>
      <c r="N40" s="27"/>
      <c r="O40" s="28">
        <f>+Rhodes!L3</f>
        <v>318.85000000000002</v>
      </c>
      <c r="P40" s="33"/>
      <c r="Q40" s="32">
        <v>350</v>
      </c>
      <c r="R40" s="33"/>
      <c r="S40" s="32">
        <f>+Rhodes!M3</f>
        <v>113.75</v>
      </c>
      <c r="T40" s="29"/>
      <c r="U40" s="30">
        <v>350</v>
      </c>
      <c r="V40" s="29"/>
      <c r="W40" s="30">
        <v>199</v>
      </c>
      <c r="X40" s="31"/>
      <c r="Y40" s="32">
        <v>200</v>
      </c>
      <c r="Z40" s="33"/>
      <c r="AA40" s="32">
        <v>227</v>
      </c>
      <c r="AB40" s="34"/>
      <c r="AC40" s="28">
        <v>200</v>
      </c>
      <c r="AD40" s="34"/>
      <c r="AE40" s="28">
        <v>156.19999999999999</v>
      </c>
      <c r="AF40" s="35"/>
      <c r="AG40" s="36">
        <v>200</v>
      </c>
      <c r="AH40" s="35"/>
      <c r="AI40" s="36">
        <v>101.77</v>
      </c>
      <c r="AJ40" s="37">
        <v>198</v>
      </c>
      <c r="AK40" s="37">
        <v>102</v>
      </c>
      <c r="AL40" s="37">
        <v>6</v>
      </c>
    </row>
    <row r="41" spans="1:38" x14ac:dyDescent="0.2">
      <c r="A41" s="25" t="s">
        <v>61</v>
      </c>
      <c r="B41" s="25" t="s">
        <v>14</v>
      </c>
      <c r="C41" s="25"/>
      <c r="D41" s="25" t="s">
        <v>15</v>
      </c>
      <c r="E41" s="25">
        <v>70</v>
      </c>
      <c r="F41" s="44" t="s">
        <v>49</v>
      </c>
      <c r="G41" s="28">
        <f>+Shields!F6</f>
        <v>0</v>
      </c>
      <c r="H41" s="28">
        <f>+Shields!G6</f>
        <v>0</v>
      </c>
      <c r="I41" s="28">
        <f>+Shields!H6</f>
        <v>0</v>
      </c>
      <c r="J41" s="28">
        <f>+Shields!I6</f>
        <v>0</v>
      </c>
      <c r="K41" s="28">
        <f>+Shields!J6</f>
        <v>0</v>
      </c>
      <c r="L41" s="27"/>
      <c r="M41" s="28">
        <f>+Shields!K6</f>
        <v>0</v>
      </c>
      <c r="N41" s="27"/>
      <c r="O41" s="28">
        <f>+Shields!L6</f>
        <v>41.25</v>
      </c>
      <c r="P41" s="33"/>
      <c r="Q41" s="32">
        <v>260</v>
      </c>
      <c r="R41" s="33"/>
      <c r="S41" s="32">
        <f>+Shields!M6</f>
        <v>129.5</v>
      </c>
      <c r="T41" s="29"/>
      <c r="U41" s="30">
        <v>120</v>
      </c>
      <c r="V41" s="29"/>
      <c r="W41" s="30">
        <v>259</v>
      </c>
      <c r="X41" s="31"/>
      <c r="Y41" s="32">
        <v>100</v>
      </c>
      <c r="Z41" s="33"/>
      <c r="AA41" s="32">
        <v>215</v>
      </c>
      <c r="AB41" s="34"/>
      <c r="AC41" s="28">
        <v>100</v>
      </c>
      <c r="AD41" s="34"/>
      <c r="AE41" s="28">
        <v>82.35</v>
      </c>
      <c r="AF41" s="35"/>
      <c r="AG41" s="36">
        <v>100</v>
      </c>
      <c r="AH41" s="35"/>
      <c r="AI41" s="36">
        <v>101.78</v>
      </c>
      <c r="AJ41" s="37">
        <v>80</v>
      </c>
      <c r="AK41" s="37">
        <v>102</v>
      </c>
      <c r="AL41" s="37"/>
    </row>
    <row r="42" spans="1:38" x14ac:dyDescent="0.2">
      <c r="A42" s="25" t="s">
        <v>62</v>
      </c>
      <c r="B42" s="25" t="s">
        <v>14</v>
      </c>
      <c r="C42" s="25"/>
      <c r="D42" s="25" t="s">
        <v>15</v>
      </c>
      <c r="E42" s="25">
        <v>70</v>
      </c>
      <c r="F42" s="44" t="s">
        <v>49</v>
      </c>
      <c r="G42" s="28">
        <f>+Shields!F7</f>
        <v>0</v>
      </c>
      <c r="H42" s="28">
        <f>+Shields!G7</f>
        <v>0</v>
      </c>
      <c r="I42" s="28">
        <f>+Shields!H7</f>
        <v>0</v>
      </c>
      <c r="J42" s="28">
        <f>+Shields!I7</f>
        <v>164.19</v>
      </c>
      <c r="K42" s="28">
        <f>+Shields!J7</f>
        <v>693.26</v>
      </c>
      <c r="L42" s="27"/>
      <c r="M42" s="28">
        <f>+Shields!K7</f>
        <v>174.02</v>
      </c>
      <c r="N42" s="27"/>
      <c r="O42" s="28">
        <f>+Shields!L7</f>
        <v>55.82</v>
      </c>
      <c r="P42" s="33"/>
      <c r="Q42" s="32">
        <v>699</v>
      </c>
      <c r="R42" s="33"/>
      <c r="S42" s="32">
        <f>+Shields!M7</f>
        <v>276.05</v>
      </c>
      <c r="T42" s="29"/>
      <c r="U42" s="30">
        <v>55</v>
      </c>
      <c r="V42" s="29"/>
      <c r="W42" s="30">
        <f>2915.27-2885</f>
        <v>30.269999999999982</v>
      </c>
      <c r="X42" s="31"/>
      <c r="Y42" s="32"/>
      <c r="Z42" s="33"/>
      <c r="AA42" s="32">
        <v>974.42</v>
      </c>
      <c r="AB42" s="34"/>
      <c r="AC42" s="28"/>
      <c r="AD42" s="34"/>
      <c r="AE42" s="28"/>
      <c r="AF42" s="35"/>
      <c r="AG42" s="36"/>
      <c r="AH42" s="35"/>
      <c r="AI42" s="36"/>
      <c r="AJ42" s="37"/>
      <c r="AK42" s="37"/>
      <c r="AL42" s="37"/>
    </row>
    <row r="43" spans="1:38" x14ac:dyDescent="0.2">
      <c r="A43" s="25" t="s">
        <v>63</v>
      </c>
      <c r="B43" s="25" t="s">
        <v>14</v>
      </c>
      <c r="C43" s="25"/>
      <c r="D43" s="25" t="s">
        <v>15</v>
      </c>
      <c r="E43" s="25">
        <v>71</v>
      </c>
      <c r="F43" s="46" t="s">
        <v>57</v>
      </c>
      <c r="G43" s="28">
        <f>+'Race Comm'!F5</f>
        <v>0</v>
      </c>
      <c r="H43" s="28">
        <f>+'Race Comm'!G5</f>
        <v>0</v>
      </c>
      <c r="I43" s="28">
        <f>+'Race Comm'!H5</f>
        <v>0</v>
      </c>
      <c r="J43" s="28">
        <f>+'Race Comm'!I5</f>
        <v>0</v>
      </c>
      <c r="K43" s="28">
        <f>+'Race Comm'!J5</f>
        <v>0</v>
      </c>
      <c r="L43" s="27"/>
      <c r="M43" s="28">
        <f>+'Race Comm'!K5</f>
        <v>0</v>
      </c>
      <c r="N43" s="27"/>
      <c r="O43" s="28">
        <f>+'Race Comm'!L5</f>
        <v>0</v>
      </c>
      <c r="P43" s="33"/>
      <c r="Q43" s="32">
        <v>0</v>
      </c>
      <c r="R43" s="33"/>
      <c r="S43" s="32">
        <f>+'Race Comm'!M5</f>
        <v>0</v>
      </c>
      <c r="T43" s="29"/>
      <c r="U43" s="30">
        <v>0</v>
      </c>
      <c r="V43" s="29"/>
      <c r="W43" s="30">
        <v>0</v>
      </c>
      <c r="X43" s="31"/>
      <c r="Y43" s="32">
        <v>100</v>
      </c>
      <c r="Z43" s="33"/>
      <c r="AA43" s="32">
        <v>0</v>
      </c>
      <c r="AB43" s="34"/>
      <c r="AC43" s="28">
        <v>50</v>
      </c>
      <c r="AD43" s="34"/>
      <c r="AE43" s="28">
        <v>0</v>
      </c>
      <c r="AF43" s="35"/>
      <c r="AG43" s="36">
        <v>50</v>
      </c>
      <c r="AH43" s="35"/>
      <c r="AI43" s="36"/>
      <c r="AJ43" s="37"/>
      <c r="AK43" s="37">
        <v>255</v>
      </c>
      <c r="AL43" s="37"/>
    </row>
    <row r="44" spans="1:38" x14ac:dyDescent="0.2">
      <c r="A44" s="25" t="s">
        <v>64</v>
      </c>
      <c r="B44" s="25" t="s">
        <v>14</v>
      </c>
      <c r="C44" s="25"/>
      <c r="D44" s="25" t="s">
        <v>15</v>
      </c>
      <c r="E44" s="25">
        <v>72</v>
      </c>
      <c r="F44" s="46" t="s">
        <v>57</v>
      </c>
      <c r="G44" s="28">
        <f>+'Race Comm'!F6</f>
        <v>0</v>
      </c>
      <c r="H44" s="28">
        <f>+'Race Comm'!G6</f>
        <v>0</v>
      </c>
      <c r="I44" s="28">
        <f>+'Race Comm'!H11</f>
        <v>0</v>
      </c>
      <c r="J44" s="28">
        <f>+'Race Comm'!I11</f>
        <v>442.22</v>
      </c>
      <c r="K44" s="28">
        <f>+'Race Comm'!J11</f>
        <v>231.13</v>
      </c>
      <c r="L44" s="27"/>
      <c r="M44" s="28">
        <f>+'Race Comm'!K11</f>
        <v>627.36</v>
      </c>
      <c r="N44" s="27"/>
      <c r="O44" s="28">
        <f>+'Race Comm'!L11</f>
        <v>453.29</v>
      </c>
      <c r="P44" s="33"/>
      <c r="Q44" s="32">
        <v>330</v>
      </c>
      <c r="R44" s="33"/>
      <c r="S44" s="32">
        <f>+'Race Comm'!M11</f>
        <v>754.05</v>
      </c>
      <c r="T44" s="29"/>
      <c r="U44" s="30">
        <v>180</v>
      </c>
      <c r="V44" s="29"/>
      <c r="W44" s="30">
        <v>18</v>
      </c>
      <c r="X44" s="31"/>
      <c r="Y44" s="32">
        <v>300</v>
      </c>
      <c r="Z44" s="33"/>
      <c r="AA44" s="32">
        <v>97.68</v>
      </c>
      <c r="AB44" s="34"/>
      <c r="AC44" s="28">
        <v>300</v>
      </c>
      <c r="AD44" s="34"/>
      <c r="AE44" s="28">
        <v>0</v>
      </c>
      <c r="AF44" s="35"/>
      <c r="AG44" s="36">
        <v>300</v>
      </c>
      <c r="AH44" s="35"/>
      <c r="AI44" s="36">
        <v>190.9</v>
      </c>
      <c r="AJ44" s="37">
        <v>306</v>
      </c>
      <c r="AK44" s="37">
        <v>465</v>
      </c>
      <c r="AL44" s="37">
        <v>171</v>
      </c>
    </row>
    <row r="45" spans="1:38" x14ac:dyDescent="0.2">
      <c r="A45" s="25" t="s">
        <v>65</v>
      </c>
      <c r="B45" s="25" t="s">
        <v>14</v>
      </c>
      <c r="C45" s="25"/>
      <c r="D45" s="25" t="s">
        <v>15</v>
      </c>
      <c r="E45" s="25">
        <v>73</v>
      </c>
      <c r="F45" s="26"/>
      <c r="G45" s="28"/>
      <c r="H45" s="28"/>
      <c r="I45" s="28"/>
      <c r="J45" s="28"/>
      <c r="K45" s="28"/>
      <c r="L45" s="27"/>
      <c r="M45" s="28"/>
      <c r="N45" s="27"/>
      <c r="O45" s="28"/>
      <c r="P45" s="33"/>
      <c r="Q45" s="32"/>
      <c r="R45" s="33"/>
      <c r="S45" s="32"/>
      <c r="T45" s="29"/>
      <c r="U45" s="30"/>
      <c r="V45" s="29"/>
      <c r="W45" s="30"/>
      <c r="X45" s="31"/>
      <c r="Y45" s="32"/>
      <c r="Z45" s="33"/>
      <c r="AA45" s="32"/>
      <c r="AB45" s="34"/>
      <c r="AC45" s="28"/>
      <c r="AD45" s="34"/>
      <c r="AE45" s="28"/>
      <c r="AF45" s="35"/>
      <c r="AG45" s="36"/>
      <c r="AH45" s="35"/>
      <c r="AI45" s="36"/>
      <c r="AJ45" s="37"/>
      <c r="AK45" s="37"/>
      <c r="AL45" s="37"/>
    </row>
    <row r="46" spans="1:38" x14ac:dyDescent="0.2">
      <c r="A46" s="25" t="s">
        <v>66</v>
      </c>
      <c r="B46" s="25" t="s">
        <v>14</v>
      </c>
      <c r="C46" s="25"/>
      <c r="D46" s="25" t="s">
        <v>15</v>
      </c>
      <c r="E46" s="25">
        <v>74</v>
      </c>
      <c r="F46" s="48" t="s">
        <v>67</v>
      </c>
      <c r="G46" s="28">
        <f>+Training!F4</f>
        <v>0</v>
      </c>
      <c r="H46" s="28">
        <f>+Training!G4</f>
        <v>0</v>
      </c>
      <c r="I46" s="28">
        <f>+Training!H4</f>
        <v>0</v>
      </c>
      <c r="J46" s="28">
        <f>+Training!I4</f>
        <v>0</v>
      </c>
      <c r="K46" s="28">
        <f>+Training!J4</f>
        <v>50</v>
      </c>
      <c r="L46" s="27"/>
      <c r="M46" s="28">
        <f>+Training!K4</f>
        <v>203</v>
      </c>
      <c r="N46" s="27"/>
      <c r="O46" s="28">
        <f>+Training!L4</f>
        <v>0</v>
      </c>
      <c r="P46" s="33"/>
      <c r="Q46" s="32">
        <v>1000</v>
      </c>
      <c r="R46" s="33"/>
      <c r="S46" s="32">
        <f>+Training!N4</f>
        <v>1151.78</v>
      </c>
      <c r="T46" s="29"/>
      <c r="U46" s="30">
        <v>500</v>
      </c>
      <c r="V46" s="29"/>
      <c r="W46" s="30">
        <v>52.7</v>
      </c>
      <c r="X46" s="31"/>
      <c r="Y46" s="32">
        <v>500</v>
      </c>
      <c r="Z46" s="33"/>
      <c r="AA46" s="32">
        <v>606.26</v>
      </c>
      <c r="AB46" s="34"/>
      <c r="AC46" s="28">
        <v>500</v>
      </c>
      <c r="AD46" s="34"/>
      <c r="AE46" s="28">
        <v>299.12</v>
      </c>
      <c r="AF46" s="35"/>
      <c r="AG46" s="36">
        <v>500</v>
      </c>
      <c r="AH46" s="35"/>
      <c r="AI46" s="36">
        <v>399.74</v>
      </c>
      <c r="AJ46" s="37"/>
      <c r="AK46" s="37">
        <v>370</v>
      </c>
      <c r="AL46" s="37"/>
    </row>
    <row r="47" spans="1:38" x14ac:dyDescent="0.2">
      <c r="A47" s="25" t="s">
        <v>68</v>
      </c>
      <c r="B47" s="25" t="s">
        <v>14</v>
      </c>
      <c r="C47" s="25"/>
      <c r="D47" s="25" t="s">
        <v>15</v>
      </c>
      <c r="E47" s="25">
        <v>75</v>
      </c>
      <c r="F47" s="48" t="s">
        <v>67</v>
      </c>
      <c r="G47" s="28">
        <f>+Training!F5</f>
        <v>1000</v>
      </c>
      <c r="H47" s="28">
        <f>+Training!G5</f>
        <v>0</v>
      </c>
      <c r="I47" s="28">
        <f>+Training!H5</f>
        <v>0</v>
      </c>
      <c r="J47" s="28">
        <f>+Training!I5</f>
        <v>1014</v>
      </c>
      <c r="K47" s="28">
        <f>+Training!J5</f>
        <v>808.21</v>
      </c>
      <c r="L47" s="27"/>
      <c r="M47" s="28">
        <f>+Training!K5</f>
        <v>532.29999999999995</v>
      </c>
      <c r="N47" s="27"/>
      <c r="O47" s="28">
        <f>+Training!L5</f>
        <v>0</v>
      </c>
      <c r="P47" s="33"/>
      <c r="Q47" s="32">
        <v>400</v>
      </c>
      <c r="R47" s="33"/>
      <c r="S47" s="32">
        <f>+Training!N5</f>
        <v>506.76</v>
      </c>
      <c r="T47" s="29"/>
      <c r="U47" s="30">
        <v>100</v>
      </c>
      <c r="V47" s="29"/>
      <c r="W47" s="30">
        <v>352.36</v>
      </c>
      <c r="X47" s="31"/>
      <c r="Y47" s="32">
        <v>50</v>
      </c>
      <c r="Z47" s="33"/>
      <c r="AA47" s="32">
        <v>114.51</v>
      </c>
      <c r="AB47" s="34"/>
      <c r="AC47" s="28">
        <v>50</v>
      </c>
      <c r="AD47" s="34"/>
      <c r="AE47" s="28">
        <v>16.13</v>
      </c>
      <c r="AF47" s="35"/>
      <c r="AG47" s="36">
        <v>20</v>
      </c>
      <c r="AH47" s="35"/>
      <c r="AI47" s="36">
        <v>107.21</v>
      </c>
      <c r="AJ47" s="37"/>
      <c r="AK47" s="37">
        <v>16</v>
      </c>
      <c r="AL47" s="37">
        <v>30</v>
      </c>
    </row>
    <row r="48" spans="1:38" x14ac:dyDescent="0.2">
      <c r="A48" s="25" t="s">
        <v>69</v>
      </c>
      <c r="B48" s="25" t="s">
        <v>14</v>
      </c>
      <c r="C48" s="25"/>
      <c r="D48" s="25" t="s">
        <v>15</v>
      </c>
      <c r="E48" s="25">
        <v>76</v>
      </c>
      <c r="F48" s="26"/>
      <c r="G48" s="28"/>
      <c r="H48" s="28"/>
      <c r="I48" s="28"/>
      <c r="J48" s="28"/>
      <c r="K48" s="28"/>
      <c r="L48" s="27"/>
      <c r="M48" s="28"/>
      <c r="N48" s="27"/>
      <c r="O48" s="28"/>
      <c r="P48" s="33"/>
      <c r="Q48" s="32"/>
      <c r="R48" s="33"/>
      <c r="S48" s="32"/>
      <c r="T48" s="29"/>
      <c r="U48" s="30"/>
      <c r="V48" s="29"/>
      <c r="W48" s="30"/>
      <c r="X48" s="31"/>
      <c r="Y48" s="32"/>
      <c r="Z48" s="33"/>
      <c r="AA48" s="32"/>
      <c r="AB48" s="34"/>
      <c r="AC48" s="28"/>
      <c r="AD48" s="34"/>
      <c r="AE48" s="28"/>
      <c r="AF48" s="35"/>
      <c r="AG48" s="36"/>
      <c r="AH48" s="35"/>
      <c r="AI48" s="36"/>
      <c r="AJ48" s="37">
        <v>1585</v>
      </c>
      <c r="AK48" s="37">
        <v>874</v>
      </c>
      <c r="AL48" s="37">
        <v>2392</v>
      </c>
    </row>
    <row r="49" spans="1:43" x14ac:dyDescent="0.2">
      <c r="A49" s="25" t="s">
        <v>70</v>
      </c>
      <c r="B49" s="25" t="s">
        <v>14</v>
      </c>
      <c r="C49" s="25"/>
      <c r="D49" s="25" t="s">
        <v>15</v>
      </c>
      <c r="E49" s="25">
        <v>77</v>
      </c>
      <c r="F49" s="49" t="s">
        <v>71</v>
      </c>
      <c r="G49" s="28">
        <f>+Store!F4</f>
        <v>0</v>
      </c>
      <c r="H49" s="28">
        <f>+Store!G4</f>
        <v>0</v>
      </c>
      <c r="I49" s="28">
        <f>+Store!H4</f>
        <v>0</v>
      </c>
      <c r="J49" s="28">
        <f>+Store!I4</f>
        <v>0</v>
      </c>
      <c r="K49" s="28">
        <f>+Store!J4</f>
        <v>0</v>
      </c>
      <c r="L49" s="27"/>
      <c r="M49" s="28">
        <f>+Store!K4</f>
        <v>0</v>
      </c>
      <c r="N49" s="27"/>
      <c r="O49" s="28">
        <f>+Store!L4</f>
        <v>0</v>
      </c>
      <c r="P49" s="33"/>
      <c r="Q49" s="32">
        <v>0</v>
      </c>
      <c r="R49" s="33"/>
      <c r="S49" s="32">
        <f>+Store!M4</f>
        <v>0</v>
      </c>
      <c r="T49" s="29"/>
      <c r="U49" s="30">
        <v>0</v>
      </c>
      <c r="V49" s="29"/>
      <c r="W49" s="30">
        <v>0</v>
      </c>
      <c r="X49" s="31"/>
      <c r="Y49" s="32">
        <v>0</v>
      </c>
      <c r="Z49" s="33"/>
      <c r="AA49" s="32">
        <v>0</v>
      </c>
      <c r="AB49" s="34"/>
      <c r="AC49" s="28">
        <v>0</v>
      </c>
      <c r="AD49" s="34"/>
      <c r="AE49" s="28">
        <v>129.94999999999999</v>
      </c>
      <c r="AF49" s="35"/>
      <c r="AG49" s="36">
        <v>100</v>
      </c>
      <c r="AH49" s="35"/>
      <c r="AI49" s="36">
        <v>9.4499999999999993</v>
      </c>
      <c r="AJ49" s="37"/>
      <c r="AK49" s="37"/>
      <c r="AL49" s="37"/>
    </row>
    <row r="50" spans="1:43" x14ac:dyDescent="0.2">
      <c r="A50" s="25" t="s">
        <v>72</v>
      </c>
      <c r="B50" s="25" t="s">
        <v>14</v>
      </c>
      <c r="C50" s="25"/>
      <c r="D50" s="25" t="s">
        <v>15</v>
      </c>
      <c r="E50" s="25">
        <v>78</v>
      </c>
      <c r="F50" s="49" t="s">
        <v>71</v>
      </c>
      <c r="G50" s="28">
        <f>+Store!F5</f>
        <v>630</v>
      </c>
      <c r="H50" s="28">
        <f>+Store!G5</f>
        <v>617.70000000000005</v>
      </c>
      <c r="I50" s="28">
        <f>+Store!H5</f>
        <v>0</v>
      </c>
      <c r="J50" s="28">
        <f>+Store!I5</f>
        <v>0</v>
      </c>
      <c r="K50" s="28">
        <f>+Store!J5</f>
        <v>660.41499999999996</v>
      </c>
      <c r="L50" s="27">
        <v>700</v>
      </c>
      <c r="M50" s="28">
        <f>+Store!K5</f>
        <v>626.37</v>
      </c>
      <c r="N50" s="27">
        <f>Store!L9</f>
        <v>685</v>
      </c>
      <c r="O50" s="28">
        <f>+Store!L5</f>
        <v>623.41</v>
      </c>
      <c r="P50" s="33">
        <f>+Q50-Q82</f>
        <v>0</v>
      </c>
      <c r="Q50" s="32">
        <v>600</v>
      </c>
      <c r="R50" s="33">
        <f>+S50-S82</f>
        <v>117.57000000000005</v>
      </c>
      <c r="S50" s="32">
        <f>+Store!M5</f>
        <v>665.07</v>
      </c>
      <c r="T50" s="29">
        <f>+U50-U82</f>
        <v>0</v>
      </c>
      <c r="U50" s="30">
        <v>300</v>
      </c>
      <c r="V50" s="29">
        <f>+W50-W82</f>
        <v>-543.79</v>
      </c>
      <c r="W50" s="30">
        <v>26.21</v>
      </c>
      <c r="X50" s="31">
        <f>+Y50-Y82</f>
        <v>0</v>
      </c>
      <c r="Y50" s="32">
        <v>600</v>
      </c>
      <c r="Z50" s="33">
        <f>+AA50-AA82</f>
        <v>181.12</v>
      </c>
      <c r="AA50" s="32">
        <v>591.12</v>
      </c>
      <c r="AB50" s="34">
        <f>+AC50-AC82</f>
        <v>0</v>
      </c>
      <c r="AC50" s="28">
        <v>500</v>
      </c>
      <c r="AD50" s="34">
        <f>+AE50-AE82</f>
        <v>208.12</v>
      </c>
      <c r="AE50" s="28">
        <v>578.62</v>
      </c>
      <c r="AF50" s="35">
        <f>+AG50-AG82</f>
        <v>0</v>
      </c>
      <c r="AG50" s="36">
        <v>500</v>
      </c>
      <c r="AH50" s="35">
        <f>+AI50-AI82</f>
        <v>491.12</v>
      </c>
      <c r="AI50" s="36">
        <v>541.12</v>
      </c>
      <c r="AJ50" s="37"/>
      <c r="AK50" s="37"/>
      <c r="AL50" s="37"/>
    </row>
    <row r="51" spans="1:43" x14ac:dyDescent="0.2">
      <c r="A51" s="25" t="s">
        <v>29</v>
      </c>
      <c r="B51" s="25" t="s">
        <v>14</v>
      </c>
      <c r="C51" s="25"/>
      <c r="D51" s="25" t="s">
        <v>15</v>
      </c>
      <c r="E51" s="25">
        <v>79</v>
      </c>
      <c r="F51" s="49" t="s">
        <v>71</v>
      </c>
      <c r="G51" s="28">
        <f>+Store!F6</f>
        <v>741.5</v>
      </c>
      <c r="H51" s="28">
        <f>+Store!G6</f>
        <v>741.5</v>
      </c>
      <c r="I51" s="50">
        <f>+Store!H6</f>
        <v>0</v>
      </c>
      <c r="J51" s="50">
        <f>+Store!I6</f>
        <v>58.56</v>
      </c>
      <c r="K51" s="50">
        <f>+Store!J6</f>
        <v>0</v>
      </c>
      <c r="L51" s="27"/>
      <c r="M51" s="50">
        <f>+Store!K6</f>
        <v>0</v>
      </c>
      <c r="N51" s="27"/>
      <c r="O51" s="50">
        <f>+Store!L6</f>
        <v>0</v>
      </c>
      <c r="P51" s="33"/>
      <c r="Q51" s="52">
        <v>0</v>
      </c>
      <c r="R51" s="33"/>
      <c r="S51" s="52">
        <f>+Store!M6</f>
        <v>0</v>
      </c>
      <c r="T51" s="29"/>
      <c r="U51" s="51">
        <v>0</v>
      </c>
      <c r="V51" s="29"/>
      <c r="W51" s="51">
        <v>0</v>
      </c>
      <c r="X51" s="31"/>
      <c r="Y51" s="32">
        <v>150</v>
      </c>
      <c r="Z51" s="33"/>
      <c r="AA51" s="52">
        <v>0</v>
      </c>
      <c r="AB51" s="34"/>
      <c r="AC51" s="50">
        <v>0</v>
      </c>
      <c r="AD51" s="53"/>
      <c r="AE51" s="28">
        <v>177.71</v>
      </c>
      <c r="AF51" s="35"/>
      <c r="AG51" s="54">
        <v>0</v>
      </c>
      <c r="AH51" s="35"/>
      <c r="AI51" s="36">
        <v>535.85</v>
      </c>
      <c r="AJ51" s="37"/>
      <c r="AK51" s="37"/>
      <c r="AL51" s="37"/>
    </row>
    <row r="52" spans="1:43" x14ac:dyDescent="0.2">
      <c r="A52" s="55" t="s">
        <v>73</v>
      </c>
      <c r="B52" s="56"/>
      <c r="C52" s="56"/>
      <c r="D52" s="56"/>
      <c r="E52" s="56"/>
      <c r="F52" s="57"/>
      <c r="G52" s="58">
        <f>SUM(G3:G51)</f>
        <v>12289.5</v>
      </c>
      <c r="H52" s="58">
        <f>SUM(H3:H51)</f>
        <v>14686.62</v>
      </c>
      <c r="I52" s="58">
        <f>SUM(I3:I51)</f>
        <v>2311.8800000000006</v>
      </c>
      <c r="J52" s="58">
        <f>SUM(J3:J51)</f>
        <v>16362.81</v>
      </c>
      <c r="K52" s="58">
        <f>SUM(K3:K51)</f>
        <v>15886.334999999999</v>
      </c>
      <c r="L52" s="56"/>
      <c r="M52" s="58">
        <f>SUM(M3:M51)</f>
        <v>20873.749999999996</v>
      </c>
      <c r="N52" s="56"/>
      <c r="O52" s="58">
        <f>SUM(O3:O51)</f>
        <v>17744.510000000002</v>
      </c>
      <c r="P52" s="64"/>
      <c r="Q52" s="63">
        <f>SUM(Q3:Q51)</f>
        <v>27725</v>
      </c>
      <c r="R52" s="64"/>
      <c r="S52" s="63">
        <f>SUM(S3:S51)</f>
        <v>19665.609999999997</v>
      </c>
      <c r="T52" s="59"/>
      <c r="U52" s="60">
        <f>SUM(U3:U51)</f>
        <v>22340</v>
      </c>
      <c r="V52" s="59"/>
      <c r="W52" s="61">
        <f>SUM(W3:W51)</f>
        <v>16733.420000000002</v>
      </c>
      <c r="X52" s="62"/>
      <c r="Y52" s="63">
        <f>SUM(Y3:Y51)</f>
        <v>14515</v>
      </c>
      <c r="Z52" s="64"/>
      <c r="AA52" s="63">
        <f>SUM(AA3:AA51)</f>
        <v>13547.780000000002</v>
      </c>
      <c r="AB52" s="65"/>
      <c r="AC52" s="58">
        <f>SUM(AC3:AC51)</f>
        <v>14962</v>
      </c>
      <c r="AD52" s="58"/>
      <c r="AE52" s="66">
        <f>SUM(AE3:AE51)</f>
        <v>15966.960000000001</v>
      </c>
      <c r="AF52" s="65"/>
      <c r="AG52" s="58">
        <f>SUM(AG3:AG51)</f>
        <v>12311.6</v>
      </c>
      <c r="AH52" s="58"/>
      <c r="AI52" s="66">
        <f>SUM(AI3:AI51)</f>
        <v>13986.390000000003</v>
      </c>
      <c r="AJ52" s="58">
        <f>SUM(AJ3:AJ51)</f>
        <v>11467.9</v>
      </c>
      <c r="AK52" s="58">
        <f>SUM(AK3:AK51)</f>
        <v>11811</v>
      </c>
      <c r="AL52" s="66">
        <f>SUM(AL3:AL51)</f>
        <v>13139.27</v>
      </c>
    </row>
    <row r="53" spans="1:43" ht="21" customHeight="1" x14ac:dyDescent="0.2">
      <c r="A53" s="67" t="s">
        <v>74</v>
      </c>
      <c r="B53" s="67" t="s">
        <v>75</v>
      </c>
      <c r="C53" s="67"/>
      <c r="D53" s="67" t="s">
        <v>76</v>
      </c>
      <c r="E53" s="67"/>
      <c r="F53" s="68"/>
      <c r="G53" s="28"/>
      <c r="H53" s="28"/>
      <c r="I53" s="28"/>
      <c r="J53" s="28"/>
      <c r="K53" s="28"/>
      <c r="L53" s="25"/>
      <c r="M53" s="28"/>
      <c r="N53" s="25"/>
      <c r="O53" s="28"/>
      <c r="P53" s="71"/>
      <c r="Q53" s="72"/>
      <c r="R53" s="71"/>
      <c r="S53" s="72"/>
      <c r="T53" s="69"/>
      <c r="U53" s="30"/>
      <c r="V53" s="69"/>
      <c r="W53" s="70"/>
      <c r="X53" s="71"/>
      <c r="Y53" s="72"/>
      <c r="Z53" s="71"/>
      <c r="AA53" s="72"/>
      <c r="AB53" s="34"/>
      <c r="AC53" s="73"/>
      <c r="AD53" s="74"/>
      <c r="AE53" s="28"/>
      <c r="AF53" s="75"/>
      <c r="AG53" s="76"/>
      <c r="AH53" s="75"/>
      <c r="AI53" s="76"/>
      <c r="AJ53" s="77"/>
      <c r="AK53" s="77"/>
      <c r="AL53" s="77"/>
      <c r="AQ53" s="42"/>
    </row>
    <row r="54" spans="1:43" ht="12.75" customHeight="1" x14ac:dyDescent="0.2">
      <c r="A54" s="67" t="s">
        <v>32</v>
      </c>
      <c r="B54" s="67" t="s">
        <v>75</v>
      </c>
      <c r="C54" s="67"/>
      <c r="D54" s="67" t="s">
        <v>76</v>
      </c>
      <c r="E54" s="67"/>
      <c r="F54" s="40" t="s">
        <v>33</v>
      </c>
      <c r="G54" s="28">
        <f>Cruising!F5</f>
        <v>0</v>
      </c>
      <c r="H54" s="28">
        <f>Cruising!G5</f>
        <v>0</v>
      </c>
      <c r="I54" s="28">
        <f>Cruising!H5</f>
        <v>0</v>
      </c>
      <c r="J54" s="28">
        <f>Cruising!I5</f>
        <v>0</v>
      </c>
      <c r="K54" s="28">
        <f>Cruising!J5</f>
        <v>0</v>
      </c>
      <c r="L54" s="25"/>
      <c r="M54" s="28">
        <f>+Cruising!K5</f>
        <v>0</v>
      </c>
      <c r="N54" s="25"/>
      <c r="O54" s="28">
        <f>+Cruising!L5</f>
        <v>0</v>
      </c>
      <c r="P54" s="71"/>
      <c r="Q54" s="32">
        <v>0</v>
      </c>
      <c r="R54" s="71"/>
      <c r="S54" s="32">
        <f>+Cruising!M5</f>
        <v>0</v>
      </c>
      <c r="T54" s="69"/>
      <c r="U54" s="30">
        <v>0</v>
      </c>
      <c r="V54" s="69"/>
      <c r="W54" s="30">
        <v>0</v>
      </c>
      <c r="X54" s="71"/>
      <c r="Y54" s="32">
        <v>0</v>
      </c>
      <c r="Z54" s="71"/>
      <c r="AA54" s="32">
        <v>0</v>
      </c>
      <c r="AB54" s="34"/>
      <c r="AC54" s="28"/>
      <c r="AD54" s="34"/>
      <c r="AE54" s="28"/>
      <c r="AF54" s="75"/>
      <c r="AG54" s="76"/>
      <c r="AH54" s="75"/>
      <c r="AI54" s="76"/>
      <c r="AJ54" s="77"/>
      <c r="AK54" s="77"/>
      <c r="AL54" s="77"/>
    </row>
    <row r="55" spans="1:43" x14ac:dyDescent="0.2">
      <c r="A55" s="67" t="s">
        <v>53</v>
      </c>
      <c r="B55" s="67" t="s">
        <v>75</v>
      </c>
      <c r="C55" s="67"/>
      <c r="D55" s="67" t="s">
        <v>76</v>
      </c>
      <c r="E55" s="67"/>
      <c r="F55" s="40" t="s">
        <v>33</v>
      </c>
      <c r="G55" s="28">
        <f>Cruising!F6</f>
        <v>0</v>
      </c>
      <c r="H55" s="28">
        <f>Cruising!G6</f>
        <v>0</v>
      </c>
      <c r="I55" s="28">
        <f>Cruising!H6</f>
        <v>0</v>
      </c>
      <c r="J55" s="28">
        <f>Cruising!I6</f>
        <v>0</v>
      </c>
      <c r="K55" s="28">
        <f>Cruising!J6</f>
        <v>0</v>
      </c>
      <c r="L55" s="25"/>
      <c r="M55" s="28">
        <f>+Cruising!K6</f>
        <v>0</v>
      </c>
      <c r="N55" s="25"/>
      <c r="O55" s="28">
        <f>+Cruising!L6</f>
        <v>0</v>
      </c>
      <c r="P55" s="71"/>
      <c r="Q55" s="32">
        <v>8100</v>
      </c>
      <c r="R55" s="71"/>
      <c r="S55" s="32">
        <f>+Cruising!M6</f>
        <v>0</v>
      </c>
      <c r="T55" s="69"/>
      <c r="U55" s="30">
        <v>8100</v>
      </c>
      <c r="V55" s="69"/>
      <c r="W55" s="30">
        <v>0</v>
      </c>
      <c r="X55" s="71"/>
      <c r="Y55" s="32">
        <v>900</v>
      </c>
      <c r="Z55" s="71"/>
      <c r="AA55" s="32">
        <v>0</v>
      </c>
      <c r="AB55" s="34"/>
      <c r="AC55" s="28">
        <v>900</v>
      </c>
      <c r="AD55" s="34"/>
      <c r="AE55" s="28"/>
      <c r="AF55" s="75"/>
      <c r="AG55" s="76"/>
      <c r="AH55" s="75"/>
      <c r="AI55" s="76">
        <v>910</v>
      </c>
      <c r="AJ55" s="77"/>
      <c r="AK55" s="77"/>
      <c r="AL55" s="77"/>
    </row>
    <row r="56" spans="1:43" ht="12.75" customHeight="1" x14ac:dyDescent="0.2">
      <c r="A56" s="67" t="s">
        <v>77</v>
      </c>
      <c r="B56" s="67" t="s">
        <v>75</v>
      </c>
      <c r="C56" s="67"/>
      <c r="D56" s="67" t="s">
        <v>76</v>
      </c>
      <c r="E56" s="67">
        <v>6</v>
      </c>
      <c r="F56" s="68"/>
      <c r="G56" s="28"/>
      <c r="H56" s="28"/>
      <c r="I56" s="28"/>
      <c r="J56" s="28"/>
      <c r="K56" s="28"/>
      <c r="L56" s="25"/>
      <c r="M56" s="28"/>
      <c r="N56" s="25"/>
      <c r="O56" s="28"/>
      <c r="P56" s="71"/>
      <c r="Q56" s="32"/>
      <c r="R56" s="71"/>
      <c r="S56" s="32"/>
      <c r="T56" s="69"/>
      <c r="U56" s="30"/>
      <c r="V56" s="69"/>
      <c r="W56" s="30"/>
      <c r="X56" s="71"/>
      <c r="Y56" s="32"/>
      <c r="Z56" s="71"/>
      <c r="AA56" s="32"/>
      <c r="AB56" s="34"/>
      <c r="AC56" s="28"/>
      <c r="AD56" s="34"/>
      <c r="AE56" s="28"/>
      <c r="AF56" s="75"/>
      <c r="AG56" s="76"/>
      <c r="AH56" s="75"/>
      <c r="AI56" s="76"/>
      <c r="AJ56" s="77"/>
      <c r="AK56" s="77"/>
      <c r="AL56" s="77"/>
    </row>
    <row r="57" spans="1:43" x14ac:dyDescent="0.2">
      <c r="A57" s="67" t="s">
        <v>78</v>
      </c>
      <c r="B57" s="67" t="s">
        <v>75</v>
      </c>
      <c r="C57" s="67" t="s">
        <v>79</v>
      </c>
      <c r="D57" s="67" t="s">
        <v>76</v>
      </c>
      <c r="E57" s="67">
        <v>7</v>
      </c>
      <c r="F57" s="39" t="s">
        <v>18</v>
      </c>
      <c r="G57" s="28">
        <f>Admin!F19</f>
        <v>0</v>
      </c>
      <c r="H57" s="28">
        <f>Admin!G19</f>
        <v>0</v>
      </c>
      <c r="I57" s="28">
        <f>Admin!H19</f>
        <v>0</v>
      </c>
      <c r="J57" s="28">
        <f>Admin!I19</f>
        <v>0</v>
      </c>
      <c r="K57" s="28">
        <f>Admin!J19</f>
        <v>0</v>
      </c>
      <c r="L57" s="25"/>
      <c r="M57" s="28">
        <f>+Admin!K19</f>
        <v>0</v>
      </c>
      <c r="N57" s="25"/>
      <c r="O57" s="28">
        <f>+Admin!L19</f>
        <v>0</v>
      </c>
      <c r="P57" s="71"/>
      <c r="Q57" s="32">
        <v>0</v>
      </c>
      <c r="R57" s="71"/>
      <c r="S57" s="32">
        <f>+Admin!M19</f>
        <v>0.02</v>
      </c>
      <c r="T57" s="69"/>
      <c r="U57" s="30">
        <v>0</v>
      </c>
      <c r="V57" s="69"/>
      <c r="W57" s="30">
        <v>5</v>
      </c>
      <c r="X57" s="71"/>
      <c r="Y57" s="32">
        <v>150</v>
      </c>
      <c r="Z57" s="71"/>
      <c r="AA57" s="32">
        <v>1000.01</v>
      </c>
      <c r="AB57" s="34"/>
      <c r="AC57" s="28">
        <v>150</v>
      </c>
      <c r="AD57" s="34"/>
      <c r="AE57" s="28">
        <v>1996.01</v>
      </c>
      <c r="AF57" s="75"/>
      <c r="AG57" s="76"/>
      <c r="AH57" s="75"/>
      <c r="AI57" s="76">
        <v>166.44</v>
      </c>
      <c r="AJ57" s="77"/>
      <c r="AK57" s="77"/>
      <c r="AL57" s="77"/>
      <c r="AP57" s="42"/>
    </row>
    <row r="58" spans="1:43" x14ac:dyDescent="0.2">
      <c r="A58" s="67" t="s">
        <v>80</v>
      </c>
      <c r="B58" s="67" t="s">
        <v>75</v>
      </c>
      <c r="C58" s="67"/>
      <c r="D58" s="67" t="s">
        <v>76</v>
      </c>
      <c r="E58" s="67">
        <v>8</v>
      </c>
      <c r="F58" s="39" t="s">
        <v>18</v>
      </c>
      <c r="G58" s="28">
        <f>Admin!F20</f>
        <v>100</v>
      </c>
      <c r="H58" s="28">
        <f>Admin!G20</f>
        <v>245</v>
      </c>
      <c r="I58" s="28">
        <f>Admin!H20</f>
        <v>100</v>
      </c>
      <c r="J58" s="28">
        <f>Admin!I20</f>
        <v>95</v>
      </c>
      <c r="K58" s="28">
        <f>Admin!J20</f>
        <v>0</v>
      </c>
      <c r="L58" s="25"/>
      <c r="M58" s="28">
        <f>+Admin!K20</f>
        <v>145</v>
      </c>
      <c r="N58" s="25"/>
      <c r="O58" s="28">
        <f>+Admin!L20</f>
        <v>102.07</v>
      </c>
      <c r="P58" s="71"/>
      <c r="Q58" s="32">
        <v>0</v>
      </c>
      <c r="R58" s="71"/>
      <c r="S58" s="32">
        <f>+Admin!M20</f>
        <v>75.010000000000005</v>
      </c>
      <c r="T58" s="69"/>
      <c r="U58" s="30">
        <v>0</v>
      </c>
      <c r="V58" s="69"/>
      <c r="W58" s="30">
        <v>95.02</v>
      </c>
      <c r="X58" s="71"/>
      <c r="Y58" s="32">
        <v>100</v>
      </c>
      <c r="Z58" s="71"/>
      <c r="AA58" s="32">
        <v>209.98</v>
      </c>
      <c r="AB58" s="34"/>
      <c r="AC58" s="28">
        <v>50</v>
      </c>
      <c r="AD58" s="34"/>
      <c r="AE58" s="28">
        <v>160</v>
      </c>
      <c r="AF58" s="75"/>
      <c r="AG58" s="76">
        <v>250</v>
      </c>
      <c r="AH58" s="75"/>
      <c r="AI58" s="76">
        <f>55.2+0.44</f>
        <v>55.64</v>
      </c>
      <c r="AJ58" s="77"/>
      <c r="AK58" s="77"/>
      <c r="AL58" s="77"/>
    </row>
    <row r="59" spans="1:43" x14ac:dyDescent="0.2">
      <c r="A59" s="67" t="s">
        <v>81</v>
      </c>
      <c r="B59" s="67" t="s">
        <v>75</v>
      </c>
      <c r="C59" s="67" t="s">
        <v>82</v>
      </c>
      <c r="D59" s="67" t="s">
        <v>76</v>
      </c>
      <c r="E59" s="67">
        <v>9</v>
      </c>
      <c r="F59" s="68"/>
      <c r="G59" s="28"/>
      <c r="H59" s="28"/>
      <c r="I59" s="28"/>
      <c r="J59" s="28"/>
      <c r="K59" s="28"/>
      <c r="L59" s="25"/>
      <c r="M59" s="28"/>
      <c r="N59" s="25"/>
      <c r="O59" s="28"/>
      <c r="P59" s="71"/>
      <c r="Q59" s="32"/>
      <c r="R59" s="71"/>
      <c r="S59" s="32"/>
      <c r="T59" s="69"/>
      <c r="U59" s="30"/>
      <c r="V59" s="69"/>
      <c r="W59" s="30"/>
      <c r="X59" s="71"/>
      <c r="Y59" s="32"/>
      <c r="Z59" s="71"/>
      <c r="AA59" s="32"/>
      <c r="AB59" s="34"/>
      <c r="AC59" s="28"/>
      <c r="AD59" s="34"/>
      <c r="AE59" s="28"/>
      <c r="AF59" s="75"/>
      <c r="AG59" s="76"/>
      <c r="AH59" s="75"/>
      <c r="AI59" s="76"/>
      <c r="AJ59" s="77"/>
      <c r="AK59" s="77"/>
      <c r="AL59" s="77"/>
      <c r="AO59" s="42"/>
    </row>
    <row r="60" spans="1:43" x14ac:dyDescent="0.2">
      <c r="A60" s="67" t="s">
        <v>39</v>
      </c>
      <c r="B60" s="67" t="s">
        <v>75</v>
      </c>
      <c r="C60" s="67"/>
      <c r="D60" s="67" t="s">
        <v>76</v>
      </c>
      <c r="E60" s="67">
        <v>10</v>
      </c>
      <c r="F60" s="41" t="s">
        <v>40</v>
      </c>
      <c r="G60" s="28">
        <f>Social!F8</f>
        <v>3500</v>
      </c>
      <c r="H60" s="28">
        <f>Social!G8</f>
        <v>2285.87</v>
      </c>
      <c r="I60" s="28">
        <f>Social!H8</f>
        <v>0</v>
      </c>
      <c r="J60" s="28">
        <f>Social!I8</f>
        <v>2764.72</v>
      </c>
      <c r="K60" s="28">
        <f>Social!J8</f>
        <v>2408.56</v>
      </c>
      <c r="L60" s="25"/>
      <c r="M60" s="28">
        <f>+Social!K8</f>
        <v>3252</v>
      </c>
      <c r="N60" s="25"/>
      <c r="O60" s="28">
        <f>+Social!L8</f>
        <v>2425</v>
      </c>
      <c r="P60" s="71"/>
      <c r="Q60" s="32">
        <v>2100</v>
      </c>
      <c r="R60" s="71"/>
      <c r="S60" s="32">
        <f>+Social!M8</f>
        <v>2901</v>
      </c>
      <c r="T60" s="69"/>
      <c r="U60" s="30">
        <v>2100</v>
      </c>
      <c r="V60" s="69"/>
      <c r="W60" s="30">
        <v>3107</v>
      </c>
      <c r="X60" s="71"/>
      <c r="Y60" s="32">
        <v>1900</v>
      </c>
      <c r="Z60" s="71"/>
      <c r="AA60" s="32">
        <v>2035.79</v>
      </c>
      <c r="AB60" s="34"/>
      <c r="AC60" s="28">
        <v>1600</v>
      </c>
      <c r="AD60" s="34"/>
      <c r="AE60" s="28">
        <v>2120</v>
      </c>
      <c r="AF60" s="75"/>
      <c r="AG60" s="76">
        <v>1200</v>
      </c>
      <c r="AH60" s="75"/>
      <c r="AI60" s="76">
        <v>1665</v>
      </c>
      <c r="AJ60" s="77">
        <v>1130</v>
      </c>
      <c r="AK60" s="77">
        <v>1323</v>
      </c>
      <c r="AL60" s="77">
        <v>1580</v>
      </c>
      <c r="AP60" s="42"/>
    </row>
    <row r="61" spans="1:43" x14ac:dyDescent="0.2">
      <c r="A61" s="67" t="s">
        <v>41</v>
      </c>
      <c r="B61" s="67" t="s">
        <v>75</v>
      </c>
      <c r="C61" s="67"/>
      <c r="D61" s="67" t="s">
        <v>76</v>
      </c>
      <c r="E61" s="67">
        <v>11</v>
      </c>
      <c r="F61" s="41" t="s">
        <v>40</v>
      </c>
      <c r="G61" s="28">
        <f>Social!F9</f>
        <v>0</v>
      </c>
      <c r="H61" s="28">
        <f>Social!G9</f>
        <v>0</v>
      </c>
      <c r="I61" s="28">
        <f>Social!H9</f>
        <v>0</v>
      </c>
      <c r="J61" s="28">
        <f>Social!I9</f>
        <v>4050</v>
      </c>
      <c r="K61" s="28">
        <f>Social!J9</f>
        <v>2803.15</v>
      </c>
      <c r="L61" s="25"/>
      <c r="M61" s="28">
        <f>+Social!K9</f>
        <v>2733</v>
      </c>
      <c r="N61" s="25"/>
      <c r="O61" s="28">
        <f>+Social!L9</f>
        <v>4003.32</v>
      </c>
      <c r="P61" s="71"/>
      <c r="Q61" s="32">
        <v>2300</v>
      </c>
      <c r="R61" s="71"/>
      <c r="S61" s="32">
        <f>+Social!M9</f>
        <v>2068</v>
      </c>
      <c r="T61" s="69"/>
      <c r="U61" s="30">
        <v>2300</v>
      </c>
      <c r="V61" s="69"/>
      <c r="W61" s="30">
        <v>2809</v>
      </c>
      <c r="X61" s="71"/>
      <c r="Y61" s="32">
        <v>2100</v>
      </c>
      <c r="Z61" s="71"/>
      <c r="AA61" s="32">
        <v>2339</v>
      </c>
      <c r="AB61" s="34"/>
      <c r="AC61" s="28">
        <v>1800</v>
      </c>
      <c r="AD61" s="34"/>
      <c r="AE61" s="28">
        <v>2135</v>
      </c>
      <c r="AF61" s="75"/>
      <c r="AG61" s="76">
        <v>1500</v>
      </c>
      <c r="AH61" s="75"/>
      <c r="AI61" s="76">
        <v>1835</v>
      </c>
      <c r="AJ61" s="77">
        <v>1160</v>
      </c>
      <c r="AK61" s="77">
        <v>1666</v>
      </c>
      <c r="AL61" s="77">
        <v>3120</v>
      </c>
      <c r="AP61" s="42"/>
    </row>
    <row r="62" spans="1:43" x14ac:dyDescent="0.2">
      <c r="A62" s="67" t="s">
        <v>42</v>
      </c>
      <c r="B62" s="67" t="s">
        <v>75</v>
      </c>
      <c r="C62" s="67" t="s">
        <v>83</v>
      </c>
      <c r="D62" s="67" t="s">
        <v>76</v>
      </c>
      <c r="E62" s="67">
        <v>12</v>
      </c>
      <c r="F62" s="41" t="s">
        <v>40</v>
      </c>
      <c r="G62" s="28">
        <f>Social!F10</f>
        <v>50</v>
      </c>
      <c r="H62" s="28">
        <f>Social!G10</f>
        <v>250</v>
      </c>
      <c r="I62" s="28">
        <f>Social!H10</f>
        <v>160</v>
      </c>
      <c r="J62" s="28">
        <f>Social!I10</f>
        <v>330</v>
      </c>
      <c r="K62" s="28">
        <f>Social!J10</f>
        <v>372.55</v>
      </c>
      <c r="L62" s="25"/>
      <c r="M62" s="28">
        <f>+Social!K10+Social!K12</f>
        <v>170</v>
      </c>
      <c r="N62" s="25"/>
      <c r="O62" s="28">
        <f>+Social!L10+Social!L12</f>
        <v>240</v>
      </c>
      <c r="P62" s="71"/>
      <c r="Q62" s="32">
        <v>700</v>
      </c>
      <c r="R62" s="71"/>
      <c r="S62" s="32">
        <f>+Social!M10+Social!M12</f>
        <v>395</v>
      </c>
      <c r="T62" s="69"/>
      <c r="U62" s="30">
        <v>700</v>
      </c>
      <c r="V62" s="69"/>
      <c r="W62" s="30">
        <v>315</v>
      </c>
      <c r="X62" s="71"/>
      <c r="Y62" s="32">
        <v>800</v>
      </c>
      <c r="Z62" s="71"/>
      <c r="AA62" s="32">
        <v>569</v>
      </c>
      <c r="AB62" s="34"/>
      <c r="AC62" s="28">
        <v>750</v>
      </c>
      <c r="AD62" s="34"/>
      <c r="AE62" s="28">
        <v>260</v>
      </c>
      <c r="AF62" s="75"/>
      <c r="AG62" s="76">
        <v>1000</v>
      </c>
      <c r="AH62" s="75"/>
      <c r="AI62" s="76">
        <v>140</v>
      </c>
      <c r="AJ62" s="77">
        <f>560+175</f>
        <v>735</v>
      </c>
      <c r="AK62" s="77"/>
      <c r="AL62" s="77">
        <v>485</v>
      </c>
    </row>
    <row r="63" spans="1:43" x14ac:dyDescent="0.2">
      <c r="A63" s="67" t="s">
        <v>84</v>
      </c>
      <c r="B63" s="67" t="s">
        <v>75</v>
      </c>
      <c r="C63" s="67" t="s">
        <v>85</v>
      </c>
      <c r="D63" s="67" t="s">
        <v>76</v>
      </c>
      <c r="E63" s="67">
        <v>13</v>
      </c>
      <c r="F63" s="68"/>
      <c r="G63" s="28"/>
      <c r="H63" s="28"/>
      <c r="I63" s="28"/>
      <c r="J63" s="28"/>
      <c r="K63" s="28"/>
      <c r="L63" s="25"/>
      <c r="M63" s="28"/>
      <c r="N63" s="25"/>
      <c r="O63" s="28"/>
      <c r="P63" s="71"/>
      <c r="Q63" s="32"/>
      <c r="R63" s="71"/>
      <c r="S63" s="32"/>
      <c r="T63" s="69"/>
      <c r="U63" s="30"/>
      <c r="V63" s="69"/>
      <c r="W63" s="30"/>
      <c r="X63" s="71"/>
      <c r="Y63" s="32"/>
      <c r="Z63" s="71"/>
      <c r="AA63" s="32"/>
      <c r="AB63" s="34"/>
      <c r="AC63" s="28"/>
      <c r="AD63" s="34"/>
      <c r="AE63" s="28"/>
      <c r="AF63" s="75"/>
      <c r="AG63" s="76"/>
      <c r="AH63" s="75"/>
      <c r="AI63" s="76"/>
      <c r="AJ63" s="77"/>
      <c r="AK63" s="77"/>
      <c r="AL63" s="77"/>
    </row>
    <row r="64" spans="1:43" x14ac:dyDescent="0.2">
      <c r="A64" s="67" t="s">
        <v>86</v>
      </c>
      <c r="B64" s="67" t="s">
        <v>75</v>
      </c>
      <c r="C64" s="67"/>
      <c r="D64" s="67" t="s">
        <v>76</v>
      </c>
      <c r="E64" s="67">
        <v>14</v>
      </c>
      <c r="F64" s="44" t="s">
        <v>49</v>
      </c>
      <c r="G64" s="28">
        <f>Shields!F8</f>
        <v>450</v>
      </c>
      <c r="H64" s="28">
        <f>Shields!G8</f>
        <v>340</v>
      </c>
      <c r="I64" s="28">
        <f>Shields!H8</f>
        <v>0</v>
      </c>
      <c r="J64" s="28">
        <f>Shields!I8</f>
        <v>462</v>
      </c>
      <c r="K64" s="28">
        <f>Shields!J8</f>
        <v>1080</v>
      </c>
      <c r="L64" s="25"/>
      <c r="M64" s="28">
        <f>+Shields!K8</f>
        <v>1019</v>
      </c>
      <c r="N64" s="25"/>
      <c r="O64" s="28">
        <f>+Shields!L8</f>
        <v>1281</v>
      </c>
      <c r="P64" s="71"/>
      <c r="Q64" s="32">
        <v>1575</v>
      </c>
      <c r="R64" s="71"/>
      <c r="S64" s="32">
        <f>+Shields!M8</f>
        <v>1560</v>
      </c>
      <c r="T64" s="69"/>
      <c r="U64" s="30">
        <v>1600</v>
      </c>
      <c r="V64" s="69"/>
      <c r="W64" s="30">
        <v>1575</v>
      </c>
      <c r="X64" s="71"/>
      <c r="Y64" s="32">
        <v>1200</v>
      </c>
      <c r="Z64" s="71"/>
      <c r="AA64" s="32">
        <v>1560</v>
      </c>
      <c r="AB64" s="34"/>
      <c r="AC64" s="28">
        <v>960</v>
      </c>
      <c r="AD64" s="34"/>
      <c r="AE64" s="28">
        <v>1256</v>
      </c>
      <c r="AF64" s="75"/>
      <c r="AG64" s="76">
        <v>1400</v>
      </c>
      <c r="AH64" s="75"/>
      <c r="AI64" s="76">
        <v>957.03</v>
      </c>
      <c r="AJ64" s="77">
        <v>1340</v>
      </c>
      <c r="AK64" s="77">
        <v>1170</v>
      </c>
      <c r="AL64" s="77">
        <v>1140</v>
      </c>
      <c r="AP64" s="42"/>
    </row>
    <row r="65" spans="1:42" x14ac:dyDescent="0.2">
      <c r="A65" s="67" t="s">
        <v>87</v>
      </c>
      <c r="B65" s="67" t="s">
        <v>75</v>
      </c>
      <c r="C65" s="67" t="s">
        <v>88</v>
      </c>
      <c r="D65" s="67" t="s">
        <v>76</v>
      </c>
      <c r="E65" s="67">
        <v>15</v>
      </c>
      <c r="F65" s="39" t="s">
        <v>18</v>
      </c>
      <c r="G65" s="28">
        <f>Admin!F21</f>
        <v>6</v>
      </c>
      <c r="H65" s="28">
        <f>Admin!G21</f>
        <v>9.59</v>
      </c>
      <c r="I65" s="28">
        <f>Admin!H21</f>
        <v>34.909999999999997</v>
      </c>
      <c r="J65" s="28">
        <f>Admin!I21</f>
        <v>33.950000000000003</v>
      </c>
      <c r="K65" s="28">
        <f>Admin!J21</f>
        <v>33.229999999999997</v>
      </c>
      <c r="L65" s="25"/>
      <c r="M65" s="28">
        <f>+Admin!K21</f>
        <v>50.52</v>
      </c>
      <c r="N65" s="25"/>
      <c r="O65" s="28">
        <f>+Admin!L21</f>
        <v>60.25</v>
      </c>
      <c r="P65" s="71"/>
      <c r="Q65" s="32">
        <v>30</v>
      </c>
      <c r="R65" s="71"/>
      <c r="S65" s="32">
        <f>+Admin!M21</f>
        <v>35.409999999999997</v>
      </c>
      <c r="T65" s="69"/>
      <c r="U65" s="30">
        <v>30</v>
      </c>
      <c r="V65" s="69"/>
      <c r="W65" s="30">
        <v>32.270000000000003</v>
      </c>
      <c r="X65" s="71"/>
      <c r="Y65" s="32">
        <v>30</v>
      </c>
      <c r="Z65" s="71"/>
      <c r="AA65" s="32">
        <v>31.33</v>
      </c>
      <c r="AB65" s="34"/>
      <c r="AC65" s="28">
        <v>10</v>
      </c>
      <c r="AD65" s="34"/>
      <c r="AE65" s="28">
        <v>38.51</v>
      </c>
      <c r="AF65" s="75"/>
      <c r="AG65" s="76">
        <v>10</v>
      </c>
      <c r="AH65" s="75"/>
      <c r="AI65" s="76">
        <v>8.41</v>
      </c>
      <c r="AJ65" s="77"/>
      <c r="AK65" s="77"/>
      <c r="AL65" s="77">
        <v>6.31</v>
      </c>
    </row>
    <row r="66" spans="1:42" x14ac:dyDescent="0.2">
      <c r="A66" s="67" t="s">
        <v>89</v>
      </c>
      <c r="B66" s="67" t="s">
        <v>75</v>
      </c>
      <c r="C66" s="67"/>
      <c r="D66" s="67" t="s">
        <v>76</v>
      </c>
      <c r="E66" s="67">
        <v>16</v>
      </c>
      <c r="F66" s="68"/>
      <c r="G66" s="28"/>
      <c r="H66" s="28"/>
      <c r="I66" s="28"/>
      <c r="J66" s="28"/>
      <c r="K66" s="28"/>
      <c r="L66" s="25"/>
      <c r="M66" s="28"/>
      <c r="N66" s="25"/>
      <c r="O66" s="28"/>
      <c r="P66" s="71"/>
      <c r="Q66" s="32"/>
      <c r="R66" s="71"/>
      <c r="S66" s="32"/>
      <c r="T66" s="69"/>
      <c r="U66" s="30"/>
      <c r="V66" s="69"/>
      <c r="W66" s="30"/>
      <c r="X66" s="71"/>
      <c r="Y66" s="32"/>
      <c r="Z66" s="71"/>
      <c r="AA66" s="32"/>
      <c r="AB66" s="34"/>
      <c r="AC66" s="28"/>
      <c r="AD66" s="34"/>
      <c r="AE66" s="28"/>
      <c r="AF66" s="75"/>
      <c r="AG66" s="76"/>
      <c r="AH66" s="75"/>
      <c r="AI66" s="76"/>
      <c r="AJ66" s="77"/>
      <c r="AK66" s="77"/>
      <c r="AL66" s="77"/>
    </row>
    <row r="67" spans="1:42" x14ac:dyDescent="0.2">
      <c r="A67" s="67" t="s">
        <v>90</v>
      </c>
      <c r="B67" s="67" t="s">
        <v>75</v>
      </c>
      <c r="C67" s="67"/>
      <c r="D67" s="67" t="s">
        <v>76</v>
      </c>
      <c r="E67" s="67">
        <v>17</v>
      </c>
      <c r="F67" s="39" t="s">
        <v>18</v>
      </c>
      <c r="G67" s="28">
        <f>Admin!F22</f>
        <v>6390</v>
      </c>
      <c r="H67" s="28">
        <f>Admin!G22</f>
        <v>805</v>
      </c>
      <c r="I67" s="28">
        <f>Admin!H22</f>
        <v>4265</v>
      </c>
      <c r="J67" s="28">
        <f>Admin!I22</f>
        <v>5240</v>
      </c>
      <c r="K67" s="28">
        <f>Admin!J22</f>
        <v>5355</v>
      </c>
      <c r="L67" s="25"/>
      <c r="M67" s="28">
        <f>+Admin!K22</f>
        <v>6745</v>
      </c>
      <c r="N67" s="25"/>
      <c r="O67" s="28">
        <f>+Admin!L22</f>
        <v>5928.93</v>
      </c>
      <c r="P67" s="71"/>
      <c r="Q67" s="32">
        <v>7100</v>
      </c>
      <c r="R67" s="71"/>
      <c r="S67" s="32">
        <f>+Admin!M22</f>
        <v>7060</v>
      </c>
      <c r="T67" s="69"/>
      <c r="U67" s="30">
        <v>4500</v>
      </c>
      <c r="V67" s="69"/>
      <c r="W67" s="30">
        <v>7125</v>
      </c>
      <c r="X67" s="71"/>
      <c r="Y67" s="32">
        <v>4100</v>
      </c>
      <c r="Z67" s="71"/>
      <c r="AA67" s="32">
        <v>4900</v>
      </c>
      <c r="AB67" s="34"/>
      <c r="AC67" s="28">
        <v>3700</v>
      </c>
      <c r="AD67" s="34"/>
      <c r="AE67" s="28">
        <v>4048</v>
      </c>
      <c r="AF67" s="75"/>
      <c r="AG67" s="76">
        <v>3500</v>
      </c>
      <c r="AH67" s="75"/>
      <c r="AI67" s="76">
        <v>3710</v>
      </c>
      <c r="AJ67" s="77">
        <f>3361+175</f>
        <v>3536</v>
      </c>
      <c r="AK67" s="77">
        <f>3280+445</f>
        <v>3725</v>
      </c>
      <c r="AL67" s="77">
        <f>3440+35</f>
        <v>3475</v>
      </c>
      <c r="AP67" s="42"/>
    </row>
    <row r="68" spans="1:42" x14ac:dyDescent="0.2">
      <c r="A68" s="67" t="s">
        <v>91</v>
      </c>
      <c r="B68" s="67" t="s">
        <v>75</v>
      </c>
      <c r="C68" s="67" t="s">
        <v>92</v>
      </c>
      <c r="D68" s="67" t="s">
        <v>76</v>
      </c>
      <c r="E68" s="67">
        <v>18</v>
      </c>
      <c r="F68" s="39" t="s">
        <v>18</v>
      </c>
      <c r="G68" s="28">
        <f>Admin!F23</f>
        <v>1435</v>
      </c>
      <c r="H68" s="28">
        <f>Admin!G23</f>
        <v>225</v>
      </c>
      <c r="I68" s="28">
        <f>Admin!H23</f>
        <v>1268.6600000000001</v>
      </c>
      <c r="J68" s="28">
        <f>Admin!I23</f>
        <v>1150</v>
      </c>
      <c r="K68" s="28">
        <f>Admin!J23</f>
        <v>1350</v>
      </c>
      <c r="L68" s="25"/>
      <c r="M68" s="28">
        <f>+Admin!K23</f>
        <v>1375</v>
      </c>
      <c r="N68" s="25"/>
      <c r="O68" s="28">
        <f>+Admin!L23</f>
        <v>1250</v>
      </c>
      <c r="P68" s="71"/>
      <c r="Q68" s="32">
        <v>2200</v>
      </c>
      <c r="R68" s="71"/>
      <c r="S68" s="32">
        <f>+Admin!M23</f>
        <v>2240</v>
      </c>
      <c r="T68" s="69"/>
      <c r="U68" s="30">
        <v>1850</v>
      </c>
      <c r="V68" s="69"/>
      <c r="W68" s="30">
        <v>2240</v>
      </c>
      <c r="X68" s="71"/>
      <c r="Y68" s="32">
        <v>1850</v>
      </c>
      <c r="Z68" s="71"/>
      <c r="AA68" s="32">
        <v>1360</v>
      </c>
      <c r="AB68" s="34"/>
      <c r="AC68" s="28">
        <v>1775</v>
      </c>
      <c r="AD68" s="34"/>
      <c r="AE68" s="28">
        <v>1840</v>
      </c>
      <c r="AF68" s="75"/>
      <c r="AG68" s="76">
        <v>2000</v>
      </c>
      <c r="AH68" s="75"/>
      <c r="AI68" s="76">
        <v>1775</v>
      </c>
      <c r="AJ68" s="77">
        <f>1700+275</f>
        <v>1975</v>
      </c>
      <c r="AK68" s="77">
        <f>1625+275</f>
        <v>1900</v>
      </c>
      <c r="AL68" s="77">
        <f>2890+175</f>
        <v>3065</v>
      </c>
      <c r="AP68" s="42"/>
    </row>
    <row r="69" spans="1:42" x14ac:dyDescent="0.2">
      <c r="A69" s="67" t="s">
        <v>93</v>
      </c>
      <c r="B69" s="67" t="s">
        <v>75</v>
      </c>
      <c r="C69" s="67" t="s">
        <v>94</v>
      </c>
      <c r="D69" s="67" t="s">
        <v>76</v>
      </c>
      <c r="E69" s="67">
        <v>19</v>
      </c>
      <c r="F69" s="39" t="s">
        <v>18</v>
      </c>
      <c r="G69" s="28">
        <f>Admin!F24</f>
        <v>350</v>
      </c>
      <c r="H69" s="28">
        <f>Admin!G24</f>
        <v>100</v>
      </c>
      <c r="I69" s="28">
        <f>Admin!H24</f>
        <v>101</v>
      </c>
      <c r="J69" s="28">
        <f>Admin!I24</f>
        <v>0</v>
      </c>
      <c r="K69" s="28">
        <f>Admin!J24</f>
        <v>0</v>
      </c>
      <c r="L69" s="25"/>
      <c r="M69" s="28">
        <f>+Admin!K24</f>
        <v>0</v>
      </c>
      <c r="N69" s="25"/>
      <c r="O69" s="28">
        <f>+Admin!L24</f>
        <v>0</v>
      </c>
      <c r="P69" s="71"/>
      <c r="Q69" s="32">
        <v>0</v>
      </c>
      <c r="R69" s="71"/>
      <c r="S69" s="32">
        <f>+Admin!M24</f>
        <v>35.19</v>
      </c>
      <c r="T69" s="69"/>
      <c r="U69" s="30">
        <v>0</v>
      </c>
      <c r="V69" s="69"/>
      <c r="W69" s="30">
        <f>603.5-400</f>
        <v>203.5</v>
      </c>
      <c r="X69" s="71"/>
      <c r="Y69" s="32">
        <v>0</v>
      </c>
      <c r="Z69" s="71"/>
      <c r="AA69" s="32">
        <v>0</v>
      </c>
      <c r="AB69" s="34"/>
      <c r="AC69" s="28"/>
      <c r="AD69" s="34"/>
      <c r="AE69" s="28"/>
      <c r="AF69" s="75"/>
      <c r="AG69" s="76"/>
      <c r="AH69" s="75"/>
      <c r="AI69" s="76"/>
      <c r="AJ69" s="77"/>
      <c r="AK69" s="77"/>
      <c r="AL69" s="77"/>
    </row>
    <row r="70" spans="1:42" x14ac:dyDescent="0.2">
      <c r="A70" s="67" t="s">
        <v>95</v>
      </c>
      <c r="B70" s="67" t="s">
        <v>75</v>
      </c>
      <c r="C70" s="67"/>
      <c r="D70" s="67" t="s">
        <v>76</v>
      </c>
      <c r="E70" s="67">
        <v>63</v>
      </c>
      <c r="F70" s="68"/>
      <c r="G70" s="28"/>
      <c r="H70" s="28"/>
      <c r="I70" s="28"/>
      <c r="J70" s="28"/>
      <c r="K70" s="28"/>
      <c r="L70" s="25"/>
      <c r="M70" s="28"/>
      <c r="N70" s="25"/>
      <c r="O70" s="28"/>
      <c r="P70" s="71"/>
      <c r="Q70" s="32"/>
      <c r="R70" s="71"/>
      <c r="S70" s="32"/>
      <c r="T70" s="69"/>
      <c r="U70" s="30"/>
      <c r="V70" s="69"/>
      <c r="W70" s="30"/>
      <c r="X70" s="71"/>
      <c r="Y70" s="32"/>
      <c r="Z70" s="71"/>
      <c r="AA70" s="32"/>
      <c r="AB70" s="34"/>
      <c r="AC70" s="28"/>
      <c r="AD70" s="34"/>
      <c r="AE70" s="28"/>
      <c r="AF70" s="75"/>
      <c r="AG70" s="76"/>
      <c r="AH70" s="75"/>
      <c r="AI70" s="76"/>
      <c r="AJ70" s="77"/>
      <c r="AK70" s="77"/>
      <c r="AL70" s="77"/>
    </row>
    <row r="71" spans="1:42" x14ac:dyDescent="0.2">
      <c r="A71" s="67" t="s">
        <v>32</v>
      </c>
      <c r="B71" s="67" t="s">
        <v>75</v>
      </c>
      <c r="C71" s="67"/>
      <c r="D71" s="67" t="s">
        <v>76</v>
      </c>
      <c r="E71" s="67">
        <v>64</v>
      </c>
      <c r="F71" s="78" t="s">
        <v>52</v>
      </c>
      <c r="G71" s="28">
        <f>Power!F6</f>
        <v>0</v>
      </c>
      <c r="H71" s="28">
        <f>Power!G6</f>
        <v>0</v>
      </c>
      <c r="I71" s="28">
        <f>Power!H6</f>
        <v>0</v>
      </c>
      <c r="J71" s="28">
        <f>Power!I6</f>
        <v>0</v>
      </c>
      <c r="K71" s="28">
        <f>Power!J6</f>
        <v>0</v>
      </c>
      <c r="L71" s="25"/>
      <c r="M71" s="28">
        <f>+Power!K6</f>
        <v>0</v>
      </c>
      <c r="N71" s="25"/>
      <c r="O71" s="28">
        <f>+Power!L6</f>
        <v>0</v>
      </c>
      <c r="P71" s="71"/>
      <c r="Q71" s="32">
        <v>0</v>
      </c>
      <c r="R71" s="71"/>
      <c r="S71" s="32">
        <f>+Power!M6</f>
        <v>0</v>
      </c>
      <c r="T71" s="69"/>
      <c r="U71" s="30">
        <v>0</v>
      </c>
      <c r="V71" s="69"/>
      <c r="W71" s="30">
        <v>0</v>
      </c>
      <c r="X71" s="71"/>
      <c r="Y71" s="32">
        <v>0</v>
      </c>
      <c r="Z71" s="71"/>
      <c r="AA71" s="32">
        <v>0</v>
      </c>
      <c r="AB71" s="34"/>
      <c r="AC71" s="28"/>
      <c r="AD71" s="34"/>
      <c r="AE71" s="28"/>
      <c r="AF71" s="75"/>
      <c r="AG71" s="76"/>
      <c r="AH71" s="75"/>
      <c r="AI71" s="76"/>
      <c r="AJ71" s="77"/>
      <c r="AK71" s="77"/>
      <c r="AL71" s="77"/>
      <c r="AP71" s="42"/>
    </row>
    <row r="72" spans="1:42" x14ac:dyDescent="0.2">
      <c r="A72" s="67" t="s">
        <v>53</v>
      </c>
      <c r="B72" s="67" t="s">
        <v>75</v>
      </c>
      <c r="C72" s="67"/>
      <c r="D72" s="67" t="s">
        <v>76</v>
      </c>
      <c r="E72" s="67">
        <v>65</v>
      </c>
      <c r="F72" s="78" t="s">
        <v>52</v>
      </c>
      <c r="G72" s="28">
        <f>Power!F7</f>
        <v>0</v>
      </c>
      <c r="H72" s="28">
        <f>Power!G7</f>
        <v>0</v>
      </c>
      <c r="I72" s="28">
        <f>Power!H7</f>
        <v>0</v>
      </c>
      <c r="J72" s="28">
        <f>Power!I7</f>
        <v>0</v>
      </c>
      <c r="K72" s="28">
        <f>Power!J7</f>
        <v>0</v>
      </c>
      <c r="L72" s="25"/>
      <c r="M72" s="28">
        <f>+Power!K7</f>
        <v>0</v>
      </c>
      <c r="N72" s="25"/>
      <c r="O72" s="28">
        <f>+Power!L7</f>
        <v>0</v>
      </c>
      <c r="P72" s="71"/>
      <c r="Q72" s="32">
        <v>0</v>
      </c>
      <c r="R72" s="71"/>
      <c r="S72" s="32">
        <f>+Power!M7</f>
        <v>0</v>
      </c>
      <c r="T72" s="69"/>
      <c r="U72" s="30">
        <v>0</v>
      </c>
      <c r="V72" s="69"/>
      <c r="W72" s="30">
        <v>0</v>
      </c>
      <c r="X72" s="71"/>
      <c r="Y72" s="32">
        <v>0</v>
      </c>
      <c r="Z72" s="71"/>
      <c r="AA72" s="32">
        <v>0</v>
      </c>
      <c r="AB72" s="34"/>
      <c r="AC72" s="28"/>
      <c r="AD72" s="34"/>
      <c r="AE72" s="28"/>
      <c r="AF72" s="75"/>
      <c r="AG72" s="76"/>
      <c r="AH72" s="75"/>
      <c r="AI72" s="76"/>
      <c r="AJ72" s="77"/>
      <c r="AK72" s="77"/>
      <c r="AL72" s="77"/>
    </row>
    <row r="73" spans="1:42" x14ac:dyDescent="0.2">
      <c r="A73" s="67" t="s">
        <v>96</v>
      </c>
      <c r="B73" s="67" t="s">
        <v>75</v>
      </c>
      <c r="C73" s="67"/>
      <c r="D73" s="67" t="s">
        <v>76</v>
      </c>
      <c r="E73" s="67">
        <v>20</v>
      </c>
      <c r="F73" s="68"/>
      <c r="G73" s="28"/>
      <c r="H73" s="28"/>
      <c r="I73" s="28"/>
      <c r="J73" s="28"/>
      <c r="K73" s="28"/>
      <c r="L73" s="25"/>
      <c r="M73" s="28"/>
      <c r="N73" s="25"/>
      <c r="O73" s="28"/>
      <c r="P73" s="71"/>
      <c r="Q73" s="32"/>
      <c r="R73" s="71"/>
      <c r="S73" s="32"/>
      <c r="T73" s="69"/>
      <c r="U73" s="30"/>
      <c r="V73" s="69"/>
      <c r="W73" s="30"/>
      <c r="X73" s="71"/>
      <c r="Y73" s="32"/>
      <c r="Z73" s="71"/>
      <c r="AA73" s="32"/>
      <c r="AB73" s="34"/>
      <c r="AC73" s="28"/>
      <c r="AD73" s="34"/>
      <c r="AE73" s="28"/>
      <c r="AF73" s="75"/>
      <c r="AG73" s="76"/>
      <c r="AH73" s="75"/>
      <c r="AI73" s="76"/>
      <c r="AJ73" s="77"/>
      <c r="AK73" s="77"/>
      <c r="AL73" s="77"/>
    </row>
    <row r="74" spans="1:42" x14ac:dyDescent="0.2">
      <c r="A74" s="67" t="s">
        <v>97</v>
      </c>
      <c r="B74" s="67" t="s">
        <v>75</v>
      </c>
      <c r="C74" s="67" t="s">
        <v>98</v>
      </c>
      <c r="D74" s="67" t="s">
        <v>76</v>
      </c>
      <c r="E74" s="67">
        <v>21</v>
      </c>
      <c r="F74" s="79" t="s">
        <v>60</v>
      </c>
      <c r="G74" s="28">
        <f>Rhodes!F4</f>
        <v>500</v>
      </c>
      <c r="H74" s="28">
        <f>Rhodes!G4</f>
        <v>995</v>
      </c>
      <c r="I74" s="28">
        <f>Rhodes!H4</f>
        <v>50</v>
      </c>
      <c r="J74" s="28">
        <f>Rhodes!I4</f>
        <v>350</v>
      </c>
      <c r="K74" s="28">
        <f>Rhodes!J4</f>
        <v>725</v>
      </c>
      <c r="L74" s="25"/>
      <c r="M74" s="28">
        <f>+Rhodes!K4</f>
        <v>325</v>
      </c>
      <c r="N74" s="25"/>
      <c r="O74" s="28">
        <f>+Rhodes!L4</f>
        <v>500</v>
      </c>
      <c r="P74" s="71"/>
      <c r="Q74" s="32">
        <v>500</v>
      </c>
      <c r="R74" s="71"/>
      <c r="S74" s="32">
        <f>+Rhodes!M4</f>
        <v>650</v>
      </c>
      <c r="T74" s="69"/>
      <c r="U74" s="30">
        <v>500</v>
      </c>
      <c r="V74" s="69"/>
      <c r="W74" s="30">
        <v>450</v>
      </c>
      <c r="X74" s="71"/>
      <c r="Y74" s="32">
        <v>425</v>
      </c>
      <c r="Z74" s="71"/>
      <c r="AA74" s="32">
        <v>570</v>
      </c>
      <c r="AB74" s="34"/>
      <c r="AC74" s="28">
        <v>400</v>
      </c>
      <c r="AD74" s="34"/>
      <c r="AE74" s="28">
        <v>425</v>
      </c>
      <c r="AF74" s="75"/>
      <c r="AG74" s="76">
        <v>300</v>
      </c>
      <c r="AH74" s="75"/>
      <c r="AI74" s="76">
        <v>400</v>
      </c>
      <c r="AJ74" s="77">
        <v>300</v>
      </c>
      <c r="AK74" s="77">
        <v>240</v>
      </c>
      <c r="AL74" s="77">
        <f>240+140</f>
        <v>380</v>
      </c>
    </row>
    <row r="75" spans="1:42" x14ac:dyDescent="0.2">
      <c r="A75" s="67" t="s">
        <v>99</v>
      </c>
      <c r="B75" s="67" t="s">
        <v>75</v>
      </c>
      <c r="C75" s="67"/>
      <c r="D75" s="67" t="s">
        <v>76</v>
      </c>
      <c r="E75" s="67">
        <v>22</v>
      </c>
      <c r="F75" s="44" t="s">
        <v>49</v>
      </c>
      <c r="G75" s="28">
        <f>Shields!F10</f>
        <v>150</v>
      </c>
      <c r="H75" s="28">
        <f>Shields!G10</f>
        <v>75</v>
      </c>
      <c r="I75" s="28">
        <f>Shields!H10</f>
        <v>0</v>
      </c>
      <c r="J75" s="28">
        <f>Shields!I10</f>
        <v>683</v>
      </c>
      <c r="K75" s="28">
        <f>Shields!J10</f>
        <v>0</v>
      </c>
      <c r="L75" s="25"/>
      <c r="M75" s="28">
        <f>Shields!K10</f>
        <v>317</v>
      </c>
      <c r="N75" s="25"/>
      <c r="O75" s="28">
        <f>+Shields!L10</f>
        <v>60</v>
      </c>
      <c r="P75" s="71"/>
      <c r="Q75" s="32">
        <v>120</v>
      </c>
      <c r="R75" s="71"/>
      <c r="S75" s="32">
        <f>+Shields!M10</f>
        <v>120</v>
      </c>
      <c r="T75" s="69"/>
      <c r="U75" s="30">
        <v>0</v>
      </c>
      <c r="V75" s="69"/>
      <c r="W75" s="30">
        <v>100</v>
      </c>
      <c r="X75" s="71"/>
      <c r="Y75" s="32">
        <v>450</v>
      </c>
      <c r="Z75" s="71"/>
      <c r="AA75" s="32">
        <v>660</v>
      </c>
      <c r="AB75" s="34"/>
      <c r="AC75" s="28">
        <v>750</v>
      </c>
      <c r="AD75" s="34"/>
      <c r="AE75" s="28">
        <v>195</v>
      </c>
      <c r="AF75" s="75"/>
      <c r="AG75" s="76">
        <v>750</v>
      </c>
      <c r="AH75" s="75"/>
      <c r="AI75" s="76">
        <v>420</v>
      </c>
      <c r="AJ75" s="77">
        <v>735</v>
      </c>
      <c r="AK75" s="77">
        <v>770</v>
      </c>
      <c r="AL75" s="77">
        <f>560+35</f>
        <v>595</v>
      </c>
    </row>
    <row r="76" spans="1:42" x14ac:dyDescent="0.2">
      <c r="A76" s="67" t="s">
        <v>63</v>
      </c>
      <c r="B76" s="67" t="s">
        <v>75</v>
      </c>
      <c r="C76" s="67"/>
      <c r="D76" s="67" t="s">
        <v>76</v>
      </c>
      <c r="E76" s="67">
        <v>23</v>
      </c>
      <c r="F76" s="46" t="s">
        <v>57</v>
      </c>
      <c r="G76" s="28">
        <f>'Race Comm'!F12</f>
        <v>0</v>
      </c>
      <c r="H76" s="28">
        <f>'Race Comm'!G12</f>
        <v>0</v>
      </c>
      <c r="I76" s="28">
        <f>'Race Comm'!H12</f>
        <v>0</v>
      </c>
      <c r="J76" s="28">
        <f>'Race Comm'!I12</f>
        <v>918</v>
      </c>
      <c r="K76" s="28">
        <f>'Race Comm'!J12</f>
        <v>0</v>
      </c>
      <c r="L76" s="25"/>
      <c r="M76" s="28">
        <f>+'Race Comm'!K12</f>
        <v>0</v>
      </c>
      <c r="N76" s="25"/>
      <c r="O76" s="28">
        <f>+'Race Comm'!L12</f>
        <v>0</v>
      </c>
      <c r="P76" s="71"/>
      <c r="Q76" s="32">
        <v>0</v>
      </c>
      <c r="R76" s="71"/>
      <c r="S76" s="32">
        <v>0</v>
      </c>
      <c r="T76" s="69"/>
      <c r="U76" s="30">
        <v>0</v>
      </c>
      <c r="V76" s="69"/>
      <c r="W76" s="30">
        <v>0</v>
      </c>
      <c r="X76" s="71"/>
      <c r="Y76" s="32">
        <v>300</v>
      </c>
      <c r="Z76" s="71"/>
      <c r="AA76" s="32">
        <v>0</v>
      </c>
      <c r="AB76" s="34"/>
      <c r="AC76" s="28">
        <v>50</v>
      </c>
      <c r="AD76" s="34"/>
      <c r="AE76" s="28"/>
      <c r="AF76" s="75"/>
      <c r="AG76" s="76">
        <v>50</v>
      </c>
      <c r="AH76" s="75"/>
      <c r="AI76" s="76"/>
      <c r="AJ76" s="77"/>
      <c r="AK76" s="77">
        <v>265</v>
      </c>
      <c r="AL76" s="77"/>
    </row>
    <row r="77" spans="1:42" x14ac:dyDescent="0.2">
      <c r="A77" s="67" t="s">
        <v>64</v>
      </c>
      <c r="B77" s="67" t="s">
        <v>75</v>
      </c>
      <c r="C77" s="67" t="s">
        <v>100</v>
      </c>
      <c r="D77" s="67" t="s">
        <v>76</v>
      </c>
      <c r="E77" s="67">
        <v>24</v>
      </c>
      <c r="F77" s="46" t="s">
        <v>57</v>
      </c>
      <c r="G77" s="28">
        <f>'Race Comm'!F13</f>
        <v>0</v>
      </c>
      <c r="H77" s="28">
        <f>'Race Comm'!G13</f>
        <v>0</v>
      </c>
      <c r="I77" s="28">
        <f>'Race Comm'!H13</f>
        <v>0</v>
      </c>
      <c r="J77" s="28">
        <f>'Race Comm'!I13</f>
        <v>0</v>
      </c>
      <c r="K77" s="28">
        <f>'Race Comm'!J13</f>
        <v>0</v>
      </c>
      <c r="L77" s="25"/>
      <c r="M77" s="28">
        <f>+'Race Comm'!K13+Shields!K11</f>
        <v>125</v>
      </c>
      <c r="N77" s="25"/>
      <c r="O77" s="28">
        <f>+'Race Comm'!L13+Shields!L11</f>
        <v>125</v>
      </c>
      <c r="P77" s="71"/>
      <c r="Q77" s="32">
        <v>400</v>
      </c>
      <c r="R77" s="71"/>
      <c r="S77" s="32">
        <f>+'Race Comm'!M13+Shields!M11</f>
        <v>150</v>
      </c>
      <c r="T77" s="69"/>
      <c r="U77" s="30">
        <v>360</v>
      </c>
      <c r="V77" s="69"/>
      <c r="W77" s="30">
        <v>125</v>
      </c>
      <c r="X77" s="71"/>
      <c r="Y77" s="32">
        <v>200</v>
      </c>
      <c r="Z77" s="71"/>
      <c r="AA77" s="32">
        <v>150</v>
      </c>
      <c r="AB77" s="34"/>
      <c r="AC77" s="28">
        <v>100</v>
      </c>
      <c r="AD77" s="34"/>
      <c r="AE77" s="28">
        <v>200</v>
      </c>
      <c r="AF77" s="75"/>
      <c r="AG77" s="76">
        <v>150</v>
      </c>
      <c r="AH77" s="75"/>
      <c r="AI77" s="76">
        <v>100</v>
      </c>
      <c r="AJ77" s="77">
        <v>150</v>
      </c>
      <c r="AK77" s="77">
        <v>195</v>
      </c>
      <c r="AL77" s="77">
        <v>150</v>
      </c>
    </row>
    <row r="78" spans="1:42" x14ac:dyDescent="0.2">
      <c r="A78" s="67" t="s">
        <v>101</v>
      </c>
      <c r="B78" s="67" t="s">
        <v>75</v>
      </c>
      <c r="C78" s="67"/>
      <c r="D78" s="67" t="s">
        <v>76</v>
      </c>
      <c r="E78" s="67">
        <v>25</v>
      </c>
      <c r="F78" s="68"/>
      <c r="G78" s="28"/>
      <c r="H78" s="28"/>
      <c r="I78" s="28"/>
      <c r="J78" s="28"/>
      <c r="K78" s="28"/>
      <c r="L78" s="25"/>
      <c r="M78" s="28"/>
      <c r="N78" s="25"/>
      <c r="O78" s="28"/>
      <c r="P78" s="71"/>
      <c r="Q78" s="32"/>
      <c r="R78" s="71"/>
      <c r="S78" s="32"/>
      <c r="T78" s="69"/>
      <c r="U78" s="30"/>
      <c r="V78" s="69"/>
      <c r="W78" s="30"/>
      <c r="X78" s="71"/>
      <c r="Y78" s="32"/>
      <c r="Z78" s="71"/>
      <c r="AA78" s="32"/>
      <c r="AB78" s="34"/>
      <c r="AC78" s="28"/>
      <c r="AD78" s="34"/>
      <c r="AE78" s="28"/>
      <c r="AF78" s="75"/>
      <c r="AG78" s="76"/>
      <c r="AH78" s="75"/>
      <c r="AI78" s="76"/>
      <c r="AJ78" s="77"/>
      <c r="AK78" s="77"/>
      <c r="AL78" s="77"/>
    </row>
    <row r="79" spans="1:42" x14ac:dyDescent="0.2">
      <c r="A79" s="67" t="s">
        <v>102</v>
      </c>
      <c r="B79" s="67" t="s">
        <v>75</v>
      </c>
      <c r="C79" s="67"/>
      <c r="D79" s="67" t="s">
        <v>76</v>
      </c>
      <c r="E79" s="67">
        <v>26</v>
      </c>
      <c r="F79" s="79" t="s">
        <v>60</v>
      </c>
      <c r="G79" s="28">
        <f>Rhodes!F5</f>
        <v>0</v>
      </c>
      <c r="H79" s="28">
        <f>Rhodes!G5</f>
        <v>0</v>
      </c>
      <c r="I79" s="28">
        <f>Rhodes!H5</f>
        <v>0</v>
      </c>
      <c r="J79" s="28">
        <f>Rhodes!I5</f>
        <v>0</v>
      </c>
      <c r="K79" s="28">
        <f>Rhodes!J5</f>
        <v>0</v>
      </c>
      <c r="L79" s="25"/>
      <c r="M79" s="28">
        <f>+Rhodes!K5</f>
        <v>0</v>
      </c>
      <c r="N79" s="25"/>
      <c r="O79" s="28">
        <f>+Rhodes!L5</f>
        <v>0</v>
      </c>
      <c r="P79" s="71"/>
      <c r="Q79" s="32">
        <v>0</v>
      </c>
      <c r="R79" s="71"/>
      <c r="S79" s="32">
        <f>+Rhodes!M5</f>
        <v>38.409999999999997</v>
      </c>
      <c r="T79" s="69"/>
      <c r="U79" s="30">
        <v>0</v>
      </c>
      <c r="V79" s="69"/>
      <c r="W79" s="30">
        <v>0</v>
      </c>
      <c r="X79" s="71"/>
      <c r="Y79" s="32">
        <v>20</v>
      </c>
      <c r="Z79" s="71"/>
      <c r="AA79" s="32">
        <v>0</v>
      </c>
      <c r="AB79" s="34"/>
      <c r="AC79" s="28">
        <v>20</v>
      </c>
      <c r="AD79" s="34"/>
      <c r="AE79" s="28"/>
      <c r="AF79" s="75"/>
      <c r="AG79" s="76">
        <v>20</v>
      </c>
      <c r="AH79" s="75"/>
      <c r="AI79" s="76">
        <v>20</v>
      </c>
      <c r="AJ79" s="77">
        <v>20</v>
      </c>
      <c r="AK79" s="77">
        <v>30</v>
      </c>
      <c r="AL79" s="77">
        <f>62+23</f>
        <v>85</v>
      </c>
    </row>
    <row r="80" spans="1:42" x14ac:dyDescent="0.2">
      <c r="A80" s="67" t="s">
        <v>103</v>
      </c>
      <c r="B80" s="67" t="s">
        <v>75</v>
      </c>
      <c r="C80" s="67"/>
      <c r="D80" s="67" t="s">
        <v>76</v>
      </c>
      <c r="E80" s="67">
        <v>27</v>
      </c>
      <c r="F80" s="68"/>
      <c r="G80" s="28"/>
      <c r="H80" s="28"/>
      <c r="I80" s="28"/>
      <c r="J80" s="28"/>
      <c r="K80" s="28"/>
      <c r="L80" s="25"/>
      <c r="M80" s="28"/>
      <c r="N80" s="25"/>
      <c r="O80" s="28"/>
      <c r="P80" s="71"/>
      <c r="Q80" s="32"/>
      <c r="R80" s="71"/>
      <c r="S80" s="32"/>
      <c r="T80" s="69"/>
      <c r="U80" s="30"/>
      <c r="V80" s="69"/>
      <c r="W80" s="30"/>
      <c r="X80" s="71"/>
      <c r="Y80" s="32"/>
      <c r="Z80" s="71"/>
      <c r="AA80" s="32"/>
      <c r="AB80" s="34"/>
      <c r="AC80" s="28"/>
      <c r="AD80" s="34"/>
      <c r="AE80" s="28"/>
      <c r="AF80" s="75"/>
      <c r="AG80" s="76"/>
      <c r="AH80" s="75"/>
      <c r="AI80" s="76"/>
      <c r="AJ80" s="77">
        <v>1931</v>
      </c>
      <c r="AK80" s="77"/>
      <c r="AL80" s="77">
        <f>2235+285</f>
        <v>2520</v>
      </c>
    </row>
    <row r="81" spans="1:42" x14ac:dyDescent="0.2">
      <c r="A81" s="67" t="s">
        <v>70</v>
      </c>
      <c r="B81" s="67" t="s">
        <v>75</v>
      </c>
      <c r="C81" s="67"/>
      <c r="D81" s="67" t="s">
        <v>76</v>
      </c>
      <c r="E81" s="67">
        <v>28</v>
      </c>
      <c r="F81" s="49" t="s">
        <v>71</v>
      </c>
      <c r="G81" s="28">
        <f>Store!F8</f>
        <v>0</v>
      </c>
      <c r="H81" s="28">
        <f>Store!G8</f>
        <v>0</v>
      </c>
      <c r="I81" s="28">
        <f>Store!H8</f>
        <v>0</v>
      </c>
      <c r="J81" s="28">
        <f>Store!I8</f>
        <v>0</v>
      </c>
      <c r="K81" s="28">
        <f>Store!J8</f>
        <v>0</v>
      </c>
      <c r="L81" s="25"/>
      <c r="M81" s="28">
        <f>+Store!K8</f>
        <v>0</v>
      </c>
      <c r="N81" s="25"/>
      <c r="O81" s="28">
        <f>+Store!L8</f>
        <v>0</v>
      </c>
      <c r="P81" s="71"/>
      <c r="Q81" s="32">
        <v>0</v>
      </c>
      <c r="R81" s="71"/>
      <c r="S81" s="32">
        <f>+Store!M8</f>
        <v>197.85</v>
      </c>
      <c r="T81" s="69"/>
      <c r="U81" s="30">
        <v>0</v>
      </c>
      <c r="V81" s="69"/>
      <c r="W81" s="30">
        <v>309.8</v>
      </c>
      <c r="X81" s="71"/>
      <c r="Y81" s="32">
        <v>250</v>
      </c>
      <c r="Z81" s="71"/>
      <c r="AA81" s="32">
        <v>936.65</v>
      </c>
      <c r="AB81" s="34"/>
      <c r="AC81" s="28">
        <v>250</v>
      </c>
      <c r="AD81" s="34"/>
      <c r="AE81" s="28">
        <v>778</v>
      </c>
      <c r="AF81" s="75"/>
      <c r="AG81" s="76">
        <v>0</v>
      </c>
      <c r="AH81" s="75"/>
      <c r="AI81" s="76">
        <v>1821.4</v>
      </c>
      <c r="AJ81" s="77"/>
      <c r="AK81" s="77"/>
      <c r="AL81" s="77"/>
    </row>
    <row r="82" spans="1:42" x14ac:dyDescent="0.2">
      <c r="A82" s="67" t="s">
        <v>72</v>
      </c>
      <c r="B82" s="67" t="s">
        <v>75</v>
      </c>
      <c r="C82" s="67"/>
      <c r="D82" s="67" t="s">
        <v>76</v>
      </c>
      <c r="E82" s="67">
        <v>29</v>
      </c>
      <c r="F82" s="49" t="s">
        <v>71</v>
      </c>
      <c r="G82" s="28">
        <f>Store!F9</f>
        <v>630</v>
      </c>
      <c r="H82" s="28">
        <f>Store!G9</f>
        <v>446.71</v>
      </c>
      <c r="I82" s="28">
        <f>Store!H9</f>
        <v>140.63999999999999</v>
      </c>
      <c r="J82" s="28">
        <f>Store!I9</f>
        <v>389.62</v>
      </c>
      <c r="K82" s="28">
        <f>Store!J9</f>
        <v>473</v>
      </c>
      <c r="L82" s="25"/>
      <c r="M82" s="28">
        <f>+Store!K9</f>
        <v>382.5</v>
      </c>
      <c r="N82" s="25"/>
      <c r="O82" s="28">
        <f>+Store!L9</f>
        <v>685</v>
      </c>
      <c r="P82" s="71"/>
      <c r="Q82" s="32">
        <v>600</v>
      </c>
      <c r="R82" s="71"/>
      <c r="S82" s="32">
        <f>+Store!M9</f>
        <v>547.5</v>
      </c>
      <c r="T82" s="69"/>
      <c r="U82" s="30">
        <v>300</v>
      </c>
      <c r="V82" s="69"/>
      <c r="W82" s="30">
        <v>570</v>
      </c>
      <c r="X82" s="71"/>
      <c r="Y82" s="32">
        <v>600</v>
      </c>
      <c r="Z82" s="71"/>
      <c r="AA82" s="32">
        <v>410</v>
      </c>
      <c r="AB82" s="34"/>
      <c r="AC82" s="28">
        <v>500</v>
      </c>
      <c r="AD82" s="34"/>
      <c r="AE82" s="28">
        <v>370.5</v>
      </c>
      <c r="AF82" s="75"/>
      <c r="AG82" s="76">
        <v>500</v>
      </c>
      <c r="AH82" s="75"/>
      <c r="AI82" s="76">
        <v>50</v>
      </c>
      <c r="AJ82" s="77"/>
      <c r="AK82" s="77"/>
      <c r="AL82" s="77"/>
    </row>
    <row r="83" spans="1:42" x14ac:dyDescent="0.2">
      <c r="A83" s="67" t="s">
        <v>29</v>
      </c>
      <c r="B83" s="67" t="s">
        <v>75</v>
      </c>
      <c r="C83" s="67"/>
      <c r="D83" s="67" t="s">
        <v>76</v>
      </c>
      <c r="E83" s="67">
        <v>30</v>
      </c>
      <c r="F83" s="49" t="s">
        <v>71</v>
      </c>
      <c r="G83" s="28">
        <f>Store!F10</f>
        <v>741.5</v>
      </c>
      <c r="H83" s="28">
        <f>Store!G10</f>
        <v>0</v>
      </c>
      <c r="I83" s="28">
        <f>Store!H10</f>
        <v>0</v>
      </c>
      <c r="J83" s="28">
        <f>Store!I10</f>
        <v>0</v>
      </c>
      <c r="K83" s="28">
        <f>Store!J10</f>
        <v>0</v>
      </c>
      <c r="L83" s="25"/>
      <c r="M83" s="28">
        <f>+Store!K10</f>
        <v>40</v>
      </c>
      <c r="N83" s="25"/>
      <c r="O83" s="28">
        <f>+Store!L10</f>
        <v>0</v>
      </c>
      <c r="P83" s="71"/>
      <c r="Q83" s="52">
        <v>0</v>
      </c>
      <c r="R83" s="71"/>
      <c r="S83" s="52">
        <f>+Store!M10</f>
        <v>0</v>
      </c>
      <c r="T83" s="69"/>
      <c r="U83" s="30">
        <v>0</v>
      </c>
      <c r="V83" s="69"/>
      <c r="W83" s="51">
        <v>8</v>
      </c>
      <c r="X83" s="71"/>
      <c r="Y83" s="52">
        <v>0</v>
      </c>
      <c r="Z83" s="71"/>
      <c r="AA83" s="52">
        <v>28</v>
      </c>
      <c r="AB83" s="34"/>
      <c r="AC83" s="50"/>
      <c r="AD83" s="53"/>
      <c r="AE83" s="28"/>
      <c r="AF83" s="75"/>
      <c r="AG83" s="76"/>
      <c r="AH83" s="75"/>
      <c r="AI83" s="76"/>
      <c r="AJ83" s="77"/>
      <c r="AK83" s="77"/>
      <c r="AL83" s="77"/>
    </row>
    <row r="84" spans="1:42" x14ac:dyDescent="0.2">
      <c r="A84" s="80" t="s">
        <v>104</v>
      </c>
      <c r="B84" s="81"/>
      <c r="C84" s="81"/>
      <c r="D84" s="81"/>
      <c r="E84" s="81"/>
      <c r="F84" s="81"/>
      <c r="G84" s="135">
        <f>SUM(G53:G83)</f>
        <v>14302.5</v>
      </c>
      <c r="H84" s="135">
        <f>SUM(H53:H83)</f>
        <v>5777.17</v>
      </c>
      <c r="I84" s="135">
        <f>SUM(I53:I83)</f>
        <v>6120.21</v>
      </c>
      <c r="J84" s="135">
        <f>SUM(J53:J83)</f>
        <v>16466.289999999997</v>
      </c>
      <c r="K84" s="135">
        <f>SUM(K53:K83)</f>
        <v>14600.49</v>
      </c>
      <c r="L84" s="56"/>
      <c r="M84" s="135">
        <f>SUM(M53:M83)</f>
        <v>16679.02</v>
      </c>
      <c r="N84" s="56"/>
      <c r="O84" s="135">
        <f>SUM(O53:O83)</f>
        <v>16660.57</v>
      </c>
      <c r="P84" s="64"/>
      <c r="Q84" s="136">
        <f>SUM(Q53:Q83)</f>
        <v>25725</v>
      </c>
      <c r="R84" s="64"/>
      <c r="S84" s="136">
        <f>SUM(S53:S83)</f>
        <v>18073.39</v>
      </c>
      <c r="T84" s="59"/>
      <c r="U84" s="137">
        <f>SUM(U53:U83)</f>
        <v>22340</v>
      </c>
      <c r="V84" s="59"/>
      <c r="W84" s="137">
        <f>SUM(W53:W83)</f>
        <v>19069.59</v>
      </c>
      <c r="X84" s="64"/>
      <c r="Y84" s="82">
        <f>SUM(Y53:Y83)</f>
        <v>15375</v>
      </c>
      <c r="Z84" s="64"/>
      <c r="AA84" s="136">
        <f>SUM(AA53:AA83)</f>
        <v>16759.760000000002</v>
      </c>
      <c r="AB84" s="58"/>
      <c r="AC84" s="58">
        <f>SUM(AC53:AC83)</f>
        <v>13765</v>
      </c>
      <c r="AD84" s="58"/>
      <c r="AE84" s="66">
        <f>SUM(AE53:AE83)</f>
        <v>15822.02</v>
      </c>
      <c r="AF84" s="83"/>
      <c r="AG84" s="84">
        <f>SUM(AG53:AG83)</f>
        <v>12630</v>
      </c>
      <c r="AH84" s="84"/>
      <c r="AI84" s="85">
        <f>SUM(AI53:AI83)</f>
        <v>14033.92</v>
      </c>
      <c r="AJ84" s="82">
        <f>SUM(AJ53:AJ83)</f>
        <v>13012</v>
      </c>
      <c r="AK84" s="82">
        <f>SUM(AK53:AK83)</f>
        <v>11284</v>
      </c>
      <c r="AL84" s="63">
        <f>SUM(AL53:AL83)</f>
        <v>16601.310000000001</v>
      </c>
      <c r="AP84" s="42"/>
    </row>
    <row r="85" spans="1:42" x14ac:dyDescent="0.2">
      <c r="A85" s="86" t="s">
        <v>105</v>
      </c>
      <c r="B85" s="59"/>
      <c r="C85" s="59"/>
      <c r="D85" s="59"/>
      <c r="E85" s="59"/>
      <c r="F85" s="59"/>
      <c r="G85" s="66">
        <f>G84-G52</f>
        <v>2013</v>
      </c>
      <c r="H85" s="66">
        <f>H84-H52</f>
        <v>-8909.4500000000007</v>
      </c>
      <c r="I85" s="66">
        <f>I84-I52</f>
        <v>3808.3299999999995</v>
      </c>
      <c r="J85" s="66">
        <f>J84-J52</f>
        <v>103.47999999999774</v>
      </c>
      <c r="K85" s="66">
        <f>K84-K52</f>
        <v>-1285.8449999999993</v>
      </c>
      <c r="L85" s="56"/>
      <c r="M85" s="66">
        <f>M84-M52</f>
        <v>-4194.7299999999959</v>
      </c>
      <c r="N85" s="56"/>
      <c r="O85" s="66">
        <f>+O84-O52</f>
        <v>-1083.9400000000023</v>
      </c>
      <c r="P85" s="59"/>
      <c r="Q85" s="61">
        <f>+Q84-Q52</f>
        <v>-2000</v>
      </c>
      <c r="R85" s="59"/>
      <c r="S85" s="61">
        <f>+S84-S52</f>
        <v>-1592.2199999999975</v>
      </c>
      <c r="T85" s="59"/>
      <c r="U85" s="61">
        <f>+U84-U52</f>
        <v>0</v>
      </c>
      <c r="V85" s="59"/>
      <c r="W85" s="61">
        <f>+W84-W52</f>
        <v>2336.1699999999983</v>
      </c>
      <c r="X85" s="59"/>
      <c r="Y85" s="61">
        <f>+Y84-Y52</f>
        <v>860</v>
      </c>
      <c r="Z85" s="59"/>
      <c r="AA85" s="61">
        <f>+AA84-AA52</f>
        <v>3211.9799999999996</v>
      </c>
      <c r="AB85" s="87"/>
      <c r="AC85" s="60">
        <f>+AC84-AC52</f>
        <v>-1197</v>
      </c>
      <c r="AD85" s="60"/>
      <c r="AE85" s="61">
        <f>+AE84-AE52</f>
        <v>-144.94000000000051</v>
      </c>
      <c r="AF85" s="87"/>
      <c r="AG85" s="60">
        <f>+AG84-AG52</f>
        <v>318.39999999999964</v>
      </c>
      <c r="AH85" s="60"/>
      <c r="AI85" s="61">
        <f>+AI84-AI52</f>
        <v>47.529999999997017</v>
      </c>
      <c r="AJ85" s="60">
        <f>+AJ84-AJ52</f>
        <v>1544.1000000000004</v>
      </c>
      <c r="AK85" s="60">
        <f>+AK84-AK52</f>
        <v>-527</v>
      </c>
      <c r="AL85" s="61">
        <f>+AL84-AL52</f>
        <v>3462.0400000000009</v>
      </c>
    </row>
    <row r="86" spans="1:42" hidden="1" x14ac:dyDescent="0.2">
      <c r="A86" s="25" t="s">
        <v>106</v>
      </c>
      <c r="B86" s="25"/>
      <c r="C86" s="25"/>
      <c r="D86" s="25" t="s">
        <v>107</v>
      </c>
      <c r="E86" s="25">
        <v>47</v>
      </c>
      <c r="F86" s="25"/>
      <c r="G86" s="138"/>
      <c r="H86" s="138"/>
      <c r="I86" s="138"/>
      <c r="J86" s="138"/>
      <c r="K86" s="138"/>
      <c r="L86" s="25"/>
      <c r="M86" s="138"/>
      <c r="N86" s="25"/>
      <c r="O86" s="138"/>
      <c r="P86" s="25"/>
      <c r="Q86" s="138"/>
      <c r="R86" s="88"/>
      <c r="S86" s="28"/>
      <c r="T86" s="88"/>
      <c r="U86" s="28"/>
      <c r="V86" s="88"/>
      <c r="W86" s="28"/>
      <c r="X86" s="37"/>
      <c r="Y86" s="28"/>
      <c r="Z86" s="88"/>
      <c r="AA86" s="28"/>
      <c r="AB86" s="34"/>
      <c r="AC86" s="37"/>
      <c r="AD86" s="37"/>
      <c r="AE86" s="28"/>
      <c r="AF86" s="34"/>
      <c r="AG86" s="88"/>
      <c r="AH86" s="88"/>
      <c r="AI86" s="28"/>
      <c r="AJ86" s="37"/>
      <c r="AK86" s="37"/>
      <c r="AL86" s="37"/>
    </row>
    <row r="87" spans="1:42" hidden="1" x14ac:dyDescent="0.2">
      <c r="A87" s="25" t="s">
        <v>108</v>
      </c>
      <c r="B87" s="25"/>
      <c r="C87" s="25" t="s">
        <v>109</v>
      </c>
      <c r="D87" s="25" t="s">
        <v>107</v>
      </c>
      <c r="E87" s="25">
        <v>48</v>
      </c>
      <c r="F87" s="25"/>
      <c r="G87" s="28"/>
      <c r="H87" s="28"/>
      <c r="I87" s="28"/>
      <c r="J87" s="28"/>
      <c r="K87" s="28"/>
      <c r="L87" s="25"/>
      <c r="M87" s="28"/>
      <c r="N87" s="25"/>
      <c r="O87" s="28"/>
      <c r="P87" s="37"/>
      <c r="Q87" s="139"/>
      <c r="R87" s="37"/>
      <c r="S87" s="28"/>
      <c r="T87" s="37"/>
      <c r="U87" s="28"/>
      <c r="V87" s="37"/>
      <c r="W87" s="28"/>
      <c r="X87" s="37"/>
      <c r="Y87" s="28">
        <v>-3780</v>
      </c>
      <c r="Z87" s="37"/>
      <c r="AA87" s="28">
        <v>-3780</v>
      </c>
      <c r="AB87" s="34"/>
      <c r="AC87" s="37"/>
      <c r="AD87" s="37"/>
      <c r="AE87" s="28"/>
      <c r="AF87" s="34"/>
      <c r="AG87" s="37"/>
      <c r="AH87" s="37"/>
      <c r="AI87" s="28">
        <v>1035</v>
      </c>
      <c r="AJ87" s="37">
        <v>2745</v>
      </c>
      <c r="AK87" s="37"/>
      <c r="AL87" s="37"/>
    </row>
    <row r="88" spans="1:42" hidden="1" x14ac:dyDescent="0.2">
      <c r="A88" s="25" t="s">
        <v>110</v>
      </c>
      <c r="B88" s="25"/>
      <c r="C88" s="25"/>
      <c r="D88" s="25" t="s">
        <v>107</v>
      </c>
      <c r="E88" s="25">
        <v>49</v>
      </c>
      <c r="F88" s="25"/>
      <c r="G88" s="28"/>
      <c r="H88" s="28"/>
      <c r="I88" s="28"/>
      <c r="J88" s="28"/>
      <c r="K88" s="28"/>
      <c r="L88" s="25"/>
      <c r="M88" s="28"/>
      <c r="N88" s="25"/>
      <c r="O88" s="28"/>
      <c r="P88" s="37"/>
      <c r="Q88" s="139"/>
      <c r="R88" s="37"/>
      <c r="S88" s="28"/>
      <c r="T88" s="37"/>
      <c r="U88" s="28"/>
      <c r="V88" s="37"/>
      <c r="W88" s="28"/>
      <c r="X88" s="37"/>
      <c r="Y88" s="28"/>
      <c r="Z88" s="37"/>
      <c r="AA88" s="28"/>
      <c r="AB88" s="34"/>
      <c r="AC88" s="37"/>
      <c r="AD88" s="37"/>
      <c r="AE88" s="28">
        <v>3780</v>
      </c>
      <c r="AF88" s="34"/>
      <c r="AG88" s="37"/>
      <c r="AH88" s="37"/>
      <c r="AI88" s="28">
        <v>2745</v>
      </c>
      <c r="AJ88" s="37"/>
      <c r="AK88" s="37"/>
      <c r="AL88" s="37"/>
    </row>
    <row r="89" spans="1:42" hidden="1" x14ac:dyDescent="0.2">
      <c r="A89" s="25" t="s">
        <v>111</v>
      </c>
      <c r="B89" s="25"/>
      <c r="C89" s="25" t="s">
        <v>112</v>
      </c>
      <c r="D89" s="25" t="s">
        <v>113</v>
      </c>
      <c r="E89" s="25"/>
      <c r="F89" s="25"/>
      <c r="G89" s="28"/>
      <c r="H89" s="28"/>
      <c r="I89" s="28"/>
      <c r="J89" s="28"/>
      <c r="K89" s="28"/>
      <c r="L89" s="25"/>
      <c r="M89" s="28"/>
      <c r="N89" s="25"/>
      <c r="O89" s="28"/>
      <c r="P89" s="37"/>
      <c r="Q89" s="139"/>
      <c r="R89" s="37"/>
      <c r="S89" s="28">
        <v>36.75</v>
      </c>
      <c r="T89" s="37"/>
      <c r="U89" s="28"/>
      <c r="V89" s="37"/>
      <c r="W89" s="28">
        <v>49.25</v>
      </c>
      <c r="X89" s="37"/>
      <c r="Y89" s="28"/>
      <c r="Z89" s="37"/>
      <c r="AA89" s="28"/>
      <c r="AB89" s="34"/>
      <c r="AC89" s="37"/>
      <c r="AD89" s="37"/>
      <c r="AE89" s="28">
        <v>256.94</v>
      </c>
      <c r="AF89" s="34"/>
      <c r="AG89" s="37"/>
      <c r="AH89" s="37"/>
      <c r="AI89" s="28"/>
      <c r="AJ89" s="37"/>
      <c r="AK89" s="37"/>
      <c r="AL89" s="37"/>
    </row>
    <row r="90" spans="1:42" hidden="1" x14ac:dyDescent="0.2">
      <c r="A90" s="25" t="s">
        <v>114</v>
      </c>
      <c r="B90" s="25"/>
      <c r="C90" s="25" t="s">
        <v>112</v>
      </c>
      <c r="D90" s="25" t="s">
        <v>107</v>
      </c>
      <c r="E90" s="25">
        <v>80</v>
      </c>
      <c r="F90" s="25"/>
      <c r="G90" s="28"/>
      <c r="H90" s="28"/>
      <c r="I90" s="28"/>
      <c r="J90" s="28"/>
      <c r="K90" s="28"/>
      <c r="L90" s="25"/>
      <c r="M90" s="28"/>
      <c r="N90" s="25"/>
      <c r="O90" s="28"/>
      <c r="P90" s="37"/>
      <c r="Q90" s="139"/>
      <c r="R90" s="37"/>
      <c r="S90" s="28">
        <v>-36.74</v>
      </c>
      <c r="T90" s="37"/>
      <c r="U90" s="28"/>
      <c r="V90" s="37"/>
      <c r="W90" s="28">
        <v>-48.06</v>
      </c>
      <c r="X90" s="37"/>
      <c r="Y90" s="28"/>
      <c r="Z90" s="37"/>
      <c r="AA90" s="28"/>
      <c r="AB90" s="34"/>
      <c r="AC90" s="37"/>
      <c r="AD90" s="37"/>
      <c r="AE90" s="28">
        <v>-256.93</v>
      </c>
      <c r="AF90" s="34"/>
      <c r="AG90" s="37"/>
      <c r="AH90" s="37"/>
      <c r="AI90" s="28"/>
      <c r="AJ90" s="37"/>
      <c r="AK90" s="37"/>
      <c r="AL90" s="37"/>
      <c r="AO90" s="42"/>
    </row>
    <row r="91" spans="1:42" hidden="1" x14ac:dyDescent="0.2">
      <c r="A91" s="25" t="s">
        <v>115</v>
      </c>
      <c r="B91" s="25"/>
      <c r="C91" s="25"/>
      <c r="D91" s="25"/>
      <c r="E91" s="25"/>
      <c r="F91" s="25"/>
      <c r="G91" s="28"/>
      <c r="H91" s="28"/>
      <c r="I91" s="28"/>
      <c r="J91" s="28"/>
      <c r="K91" s="28"/>
      <c r="L91" s="25"/>
      <c r="M91" s="28"/>
      <c r="N91" s="25"/>
      <c r="O91" s="28"/>
      <c r="P91" s="37"/>
      <c r="Q91" s="139"/>
      <c r="R91" s="37"/>
      <c r="S91" s="28"/>
      <c r="T91" s="37"/>
      <c r="U91" s="28"/>
      <c r="V91" s="37"/>
      <c r="W91" s="28">
        <v>-400</v>
      </c>
      <c r="X91" s="37"/>
      <c r="Y91" s="28"/>
      <c r="Z91" s="37"/>
      <c r="AA91" s="28"/>
      <c r="AB91" s="34"/>
      <c r="AC91" s="37"/>
      <c r="AD91" s="37"/>
      <c r="AE91" s="28"/>
      <c r="AF91" s="34"/>
      <c r="AG91" s="37"/>
      <c r="AH91" s="37"/>
      <c r="AI91" s="28"/>
      <c r="AJ91" s="37"/>
      <c r="AK91" s="37"/>
      <c r="AL91" s="37"/>
      <c r="AO91" s="42"/>
    </row>
    <row r="92" spans="1:42" hidden="1" x14ac:dyDescent="0.2">
      <c r="A92" s="25" t="s">
        <v>116</v>
      </c>
      <c r="B92" s="25"/>
      <c r="C92" s="25"/>
      <c r="D92" s="25"/>
      <c r="E92" s="25"/>
      <c r="F92" s="25"/>
      <c r="G92" s="28"/>
      <c r="H92" s="28"/>
      <c r="I92" s="28"/>
      <c r="J92" s="28"/>
      <c r="K92" s="28"/>
      <c r="L92" s="25"/>
      <c r="M92" s="28"/>
      <c r="N92" s="25"/>
      <c r="O92" s="28"/>
      <c r="P92" s="37"/>
      <c r="Q92" s="139"/>
      <c r="R92" s="37"/>
      <c r="S92" s="28"/>
      <c r="T92" s="37"/>
      <c r="U92" s="28"/>
      <c r="V92" s="37"/>
      <c r="W92" s="28">
        <v>400</v>
      </c>
      <c r="X92" s="37"/>
      <c r="Y92" s="28"/>
      <c r="Z92" s="37"/>
      <c r="AA92" s="28"/>
      <c r="AB92" s="34"/>
      <c r="AC92" s="37"/>
      <c r="AD92" s="37"/>
      <c r="AE92" s="28"/>
      <c r="AF92" s="34"/>
      <c r="AG92" s="37"/>
      <c r="AH92" s="37"/>
      <c r="AI92" s="28"/>
      <c r="AJ92" s="37"/>
      <c r="AK92" s="37"/>
      <c r="AL92" s="37"/>
      <c r="AO92" s="42"/>
    </row>
    <row r="93" spans="1:42" hidden="1" x14ac:dyDescent="0.2">
      <c r="A93" s="25" t="s">
        <v>117</v>
      </c>
      <c r="B93" s="25"/>
      <c r="C93" s="25"/>
      <c r="D93" s="25" t="s">
        <v>107</v>
      </c>
      <c r="E93" s="25"/>
      <c r="F93" s="25"/>
      <c r="G93" s="28"/>
      <c r="H93" s="28"/>
      <c r="I93" s="28"/>
      <c r="J93" s="28"/>
      <c r="K93" s="28"/>
      <c r="L93" s="25"/>
      <c r="M93" s="28"/>
      <c r="N93" s="25"/>
      <c r="O93" s="28"/>
      <c r="P93" s="37"/>
      <c r="Q93" s="139"/>
      <c r="R93" s="37"/>
      <c r="S93" s="28"/>
      <c r="T93" s="37"/>
      <c r="U93" s="28"/>
      <c r="V93" s="37"/>
      <c r="W93" s="28">
        <v>-2885</v>
      </c>
      <c r="X93" s="37"/>
      <c r="Y93" s="28"/>
      <c r="Z93" s="37"/>
      <c r="AA93" s="28"/>
      <c r="AB93" s="34"/>
      <c r="AC93" s="37"/>
      <c r="AD93" s="37"/>
      <c r="AE93" s="28"/>
      <c r="AF93" s="34"/>
      <c r="AG93" s="37"/>
      <c r="AH93" s="37"/>
      <c r="AI93" s="28"/>
      <c r="AJ93" s="37"/>
      <c r="AK93" s="37"/>
      <c r="AL93" s="37"/>
      <c r="AO93" s="42"/>
    </row>
    <row r="94" spans="1:42" hidden="1" x14ac:dyDescent="0.2">
      <c r="A94" s="25" t="s">
        <v>118</v>
      </c>
      <c r="B94" s="25"/>
      <c r="C94" s="25"/>
      <c r="D94" s="25" t="s">
        <v>107</v>
      </c>
      <c r="E94" s="25"/>
      <c r="F94" s="25"/>
      <c r="G94" s="28"/>
      <c r="H94" s="28"/>
      <c r="I94" s="28"/>
      <c r="J94" s="28"/>
      <c r="K94" s="28"/>
      <c r="L94" s="25"/>
      <c r="M94" s="28"/>
      <c r="N94" s="25"/>
      <c r="O94" s="28"/>
      <c r="P94" s="37"/>
      <c r="Q94" s="139"/>
      <c r="R94" s="37"/>
      <c r="S94" s="28"/>
      <c r="T94" s="37"/>
      <c r="U94" s="28"/>
      <c r="V94" s="37"/>
      <c r="W94" s="28"/>
      <c r="X94" s="37"/>
      <c r="Y94" s="28"/>
      <c r="Z94" s="37"/>
      <c r="AA94" s="28">
        <v>2681.5</v>
      </c>
      <c r="AB94" s="34"/>
      <c r="AC94" s="37"/>
      <c r="AD94" s="37"/>
      <c r="AE94" s="28"/>
      <c r="AF94" s="34"/>
      <c r="AG94" s="37"/>
      <c r="AH94" s="37"/>
      <c r="AI94" s="28"/>
      <c r="AJ94" s="37"/>
      <c r="AK94" s="37"/>
      <c r="AL94" s="37"/>
      <c r="AO94" s="42"/>
    </row>
    <row r="95" spans="1:42" hidden="1" x14ac:dyDescent="0.2">
      <c r="A95" s="25" t="s">
        <v>119</v>
      </c>
      <c r="B95" s="25"/>
      <c r="C95" s="25" t="s">
        <v>109</v>
      </c>
      <c r="D95" s="25" t="s">
        <v>113</v>
      </c>
      <c r="E95" s="25">
        <v>4</v>
      </c>
      <c r="F95" s="25"/>
      <c r="G95" s="28"/>
      <c r="H95" s="28"/>
      <c r="I95" s="28"/>
      <c r="J95" s="28"/>
      <c r="K95" s="28"/>
      <c r="L95" s="25"/>
      <c r="M95" s="28"/>
      <c r="N95" s="25"/>
      <c r="O95" s="28"/>
      <c r="P95" s="37"/>
      <c r="Q95" s="139"/>
      <c r="R95" s="37"/>
      <c r="S95" s="28"/>
      <c r="T95" s="37"/>
      <c r="U95" s="28"/>
      <c r="V95" s="37"/>
      <c r="W95" s="28"/>
      <c r="X95" s="37"/>
      <c r="Y95" s="28"/>
      <c r="Z95" s="37"/>
      <c r="AA95" s="28"/>
      <c r="AB95" s="34"/>
      <c r="AC95" s="37"/>
      <c r="AD95" s="37"/>
      <c r="AE95" s="28"/>
      <c r="AF95" s="34"/>
      <c r="AG95" s="37"/>
      <c r="AH95" s="37"/>
      <c r="AI95" s="28"/>
      <c r="AJ95" s="37"/>
      <c r="AK95" s="37"/>
      <c r="AL95" s="37"/>
      <c r="AP95" s="42"/>
    </row>
    <row r="96" spans="1:42" hidden="1" x14ac:dyDescent="0.2">
      <c r="A96" s="86" t="s">
        <v>105</v>
      </c>
      <c r="G96" s="60">
        <f>SUM(G85:G95)</f>
        <v>2013</v>
      </c>
      <c r="H96" s="60">
        <f>SUM(H85:H95)</f>
        <v>-8909.4500000000007</v>
      </c>
      <c r="I96" s="60">
        <f>SUM(I85:I95)</f>
        <v>3808.3299999999995</v>
      </c>
      <c r="J96" s="60">
        <f>SUM(J85:J95)</f>
        <v>103.47999999999774</v>
      </c>
      <c r="K96" s="60">
        <f>SUM(K85:K95)</f>
        <v>-1285.8449999999993</v>
      </c>
      <c r="M96" s="60">
        <f>SUM(M85:M95)</f>
        <v>-4194.7299999999959</v>
      </c>
      <c r="O96" s="60">
        <f>SUM(O85:O95)</f>
        <v>-1083.9400000000023</v>
      </c>
      <c r="P96" s="134"/>
      <c r="Q96" s="134"/>
      <c r="S96" s="60">
        <f>SUM(S85:S95)</f>
        <v>-1592.2099999999975</v>
      </c>
      <c r="U96" s="60">
        <f>SUM(U85:U95)</f>
        <v>0</v>
      </c>
      <c r="W96" s="60">
        <f>SUM(W85:W95)</f>
        <v>-547.64000000000169</v>
      </c>
      <c r="AA96" s="60">
        <f>SUM(AA85:AA95)</f>
        <v>2113.4799999999996</v>
      </c>
      <c r="AE96" s="89"/>
      <c r="AI96" s="89"/>
      <c r="AO96" s="42"/>
    </row>
    <row r="97" spans="1:46" hidden="1" x14ac:dyDescent="0.2">
      <c r="A97" s="13" t="s">
        <v>120</v>
      </c>
      <c r="AI97" s="89"/>
      <c r="AO97" s="42"/>
    </row>
    <row r="98" spans="1:46" x14ac:dyDescent="0.2">
      <c r="Y98" s="89"/>
      <c r="Z98" s="89"/>
      <c r="AA98" s="89"/>
      <c r="AC98" s="89"/>
      <c r="AD98" s="89"/>
      <c r="AE98" s="89"/>
      <c r="AF98" s="89"/>
      <c r="AI98" s="89"/>
    </row>
    <row r="99" spans="1:46" x14ac:dyDescent="0.2">
      <c r="S99" s="13" t="s">
        <v>226</v>
      </c>
      <c r="AI99" s="89"/>
    </row>
    <row r="100" spans="1:46" x14ac:dyDescent="0.2">
      <c r="S100" s="89">
        <v>19702.349999999999</v>
      </c>
      <c r="T100" t="s">
        <v>221</v>
      </c>
    </row>
    <row r="101" spans="1:46" x14ac:dyDescent="0.2">
      <c r="S101" s="89">
        <f>+S100+S90</f>
        <v>19665.609999999997</v>
      </c>
      <c r="T101" t="s">
        <v>223</v>
      </c>
    </row>
    <row r="102" spans="1:46" x14ac:dyDescent="0.2">
      <c r="S102" s="144">
        <f>+S52-S101</f>
        <v>0</v>
      </c>
      <c r="T102" t="s">
        <v>225</v>
      </c>
    </row>
    <row r="103" spans="1:46" x14ac:dyDescent="0.2">
      <c r="S103" s="144">
        <f>+WorkingBudget!F56+Budget!S102</f>
        <v>0</v>
      </c>
      <c r="T103" t="s">
        <v>224</v>
      </c>
    </row>
    <row r="105" spans="1:46" x14ac:dyDescent="0.2">
      <c r="S105" s="89">
        <v>18110.14</v>
      </c>
      <c r="T105" t="s">
        <v>222</v>
      </c>
    </row>
    <row r="106" spans="1:46" x14ac:dyDescent="0.2">
      <c r="S106" s="144">
        <f>+S105-S89</f>
        <v>18073.39</v>
      </c>
      <c r="T106" t="s">
        <v>223</v>
      </c>
    </row>
    <row r="107" spans="1:46" x14ac:dyDescent="0.2">
      <c r="S107" s="144">
        <f>+S106-S84</f>
        <v>0</v>
      </c>
      <c r="T107" t="s">
        <v>225</v>
      </c>
      <c r="AP107" s="42"/>
    </row>
    <row r="108" spans="1:46" x14ac:dyDescent="0.2">
      <c r="S108" s="144">
        <f>+WorkingBudget!F57+S107</f>
        <v>0</v>
      </c>
      <c r="T108" t="s">
        <v>224</v>
      </c>
      <c r="AT108" s="42"/>
    </row>
    <row r="110" spans="1:46" x14ac:dyDescent="0.2">
      <c r="AT110" s="42"/>
    </row>
    <row r="112" spans="1:46" x14ac:dyDescent="0.2">
      <c r="AT112" s="42"/>
    </row>
    <row r="113" spans="42:46" x14ac:dyDescent="0.2">
      <c r="AT113" s="42"/>
    </row>
    <row r="115" spans="42:46" x14ac:dyDescent="0.2">
      <c r="AT115" s="42"/>
    </row>
    <row r="116" spans="42:46" x14ac:dyDescent="0.2">
      <c r="AP116" s="42"/>
    </row>
    <row r="117" spans="42:46" x14ac:dyDescent="0.2">
      <c r="AT117" s="42"/>
    </row>
    <row r="118" spans="42:46" x14ac:dyDescent="0.2">
      <c r="AP118" s="42"/>
      <c r="AT118" s="42"/>
    </row>
    <row r="120" spans="42:46" x14ac:dyDescent="0.2">
      <c r="AP120" s="42"/>
    </row>
    <row r="121" spans="42:46" x14ac:dyDescent="0.2">
      <c r="AP121" s="42"/>
      <c r="AT121" s="42"/>
    </row>
    <row r="122" spans="42:46" x14ac:dyDescent="0.2">
      <c r="AT122" s="42"/>
    </row>
    <row r="123" spans="42:46" x14ac:dyDescent="0.2">
      <c r="AT123" s="42"/>
    </row>
    <row r="124" spans="42:46" x14ac:dyDescent="0.2">
      <c r="AP124" s="42"/>
    </row>
    <row r="125" spans="42:46" x14ac:dyDescent="0.2">
      <c r="AP125" s="42"/>
    </row>
    <row r="132" spans="42:46" x14ac:dyDescent="0.2">
      <c r="AT132" s="42"/>
    </row>
    <row r="134" spans="42:46" x14ac:dyDescent="0.2">
      <c r="AT134" s="42"/>
    </row>
    <row r="143" spans="42:46" x14ac:dyDescent="0.2">
      <c r="AP143" s="42"/>
    </row>
    <row r="146" spans="42:44" x14ac:dyDescent="0.2">
      <c r="AP146" s="42"/>
      <c r="AQ146" s="42"/>
    </row>
    <row r="147" spans="42:44" x14ac:dyDescent="0.2">
      <c r="AP147" s="42"/>
    </row>
    <row r="148" spans="42:44" x14ac:dyDescent="0.2">
      <c r="AP148" s="42"/>
    </row>
    <row r="149" spans="42:44" x14ac:dyDescent="0.2">
      <c r="AP149" s="42"/>
      <c r="AQ149" s="42"/>
      <c r="AR149" s="42"/>
    </row>
    <row r="150" spans="42:44" x14ac:dyDescent="0.2">
      <c r="AP150" s="42"/>
    </row>
    <row r="151" spans="42:44" x14ac:dyDescent="0.2">
      <c r="AQ151" s="42"/>
      <c r="AR151" s="42"/>
    </row>
    <row r="153" spans="42:44" x14ac:dyDescent="0.2">
      <c r="AP153" s="42"/>
      <c r="AQ153" s="42"/>
      <c r="AR153" s="42"/>
    </row>
  </sheetData>
  <sheetProtection selectLockedCells="1" selectUnlockedCells="1"/>
  <customSheetViews>
    <customSheetView guid="{2689D123-C182-4EB2-AD12-2EBB4C48D466}" showPageBreaks="1" fitToPage="1" printArea="1" hiddenColumns="1">
      <pane xSplit="1" ySplit="2" topLeftCell="D3" activePane="bottomRight" state="frozen"/>
      <selection pane="bottomRight" activeCell="L27" sqref="L27"/>
      <pageMargins left="0.25" right="0.25" top="0.60555555555555562" bottom="0.20972222222222223" header="0.3" footer="0.51180555555555551"/>
      <printOptions horizontalCentered="1" verticalCentered="1"/>
      <pageSetup scale="43" firstPageNumber="0" orientation="landscape" horizontalDpi="300" verticalDpi="300" r:id="rId1"/>
      <headerFooter alignWithMargins="0">
        <oddHeader>&amp;C&amp;"Arial,Bold"&amp;22CHNYC 2015 Proposed Budget with Historical Comparison</oddHeader>
      </headerFooter>
    </customSheetView>
    <customSheetView guid="{66341D55-D973-4BB5-9B70-DB158BEA4662}" showPageBreaks="1" fitToPage="1" printArea="1" hiddenColumns="1">
      <pane xSplit="1" ySplit="2" topLeftCell="D3" activePane="bottomRight" state="frozen"/>
      <selection pane="bottomRight" activeCell="L27" sqref="L27"/>
      <pageMargins left="0.25" right="0.25" top="0.60555555555555562" bottom="0.20972222222222223" header="0.3" footer="0.51180555555555551"/>
      <printOptions horizontalCentered="1" verticalCentered="1"/>
      <pageSetup scale="43" firstPageNumber="0" orientation="landscape" horizontalDpi="300" verticalDpi="300" r:id="rId2"/>
      <headerFooter alignWithMargins="0">
        <oddHeader>&amp;C&amp;"Arial,Bold"&amp;22CHNYC 2015 Proposed Budget with Historical Comparison</oddHeader>
      </headerFooter>
    </customSheetView>
  </customSheetViews>
  <mergeCells count="2">
    <mergeCell ref="A1:D1"/>
    <mergeCell ref="AJ1:AL1"/>
  </mergeCells>
  <phoneticPr fontId="9" type="noConversion"/>
  <printOptions horizontalCentered="1" verticalCentered="1"/>
  <pageMargins left="0" right="0" top="0.5" bottom="0" header="0" footer="0"/>
  <pageSetup scale="71" firstPageNumber="0" orientation="portrait" r:id="rId3"/>
  <headerFooter alignWithMargins="0">
    <oddHeader>&amp;C&amp;"Arial,Bold"&amp;22CHNYC 2019 Proposed Budget with Historical Comparison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31"/>
  </sheetPr>
  <dimension ref="A1:T23"/>
  <sheetViews>
    <sheetView zoomScaleNormal="100" workbookViewId="0">
      <selection activeCell="F3" sqref="F3"/>
    </sheetView>
  </sheetViews>
  <sheetFormatPr defaultRowHeight="12.75" x14ac:dyDescent="0.2"/>
  <cols>
    <col min="1" max="1" width="16.85546875" customWidth="1"/>
    <col min="2" max="2" width="9.140625" hidden="1" customWidth="1"/>
    <col min="3" max="3" width="0" hidden="1" customWidth="1"/>
    <col min="4" max="4" width="21.5703125" customWidth="1"/>
    <col min="5" max="5" width="5.28515625" style="146" hidden="1" customWidth="1"/>
    <col min="6" max="13" width="10.5703125" style="69" customWidth="1"/>
    <col min="14" max="14" width="9" style="69" customWidth="1"/>
    <col min="15" max="20" width="9.140625" customWidth="1"/>
  </cols>
  <sheetData>
    <row r="1" spans="1:20" s="115" customFormat="1" ht="15" x14ac:dyDescent="0.25">
      <c r="A1" s="265" t="s">
        <v>0</v>
      </c>
      <c r="B1" s="265"/>
      <c r="C1" s="265"/>
      <c r="D1" s="265"/>
      <c r="E1" s="145"/>
      <c r="F1" s="113" t="s">
        <v>258</v>
      </c>
      <c r="G1" s="4" t="s">
        <v>4</v>
      </c>
      <c r="H1" s="4" t="s">
        <v>4</v>
      </c>
      <c r="I1" s="4" t="s">
        <v>4</v>
      </c>
      <c r="J1" s="4" t="s">
        <v>4</v>
      </c>
      <c r="K1" s="4" t="s">
        <v>4</v>
      </c>
      <c r="L1" s="4" t="s">
        <v>4</v>
      </c>
      <c r="M1" s="4" t="s">
        <v>4</v>
      </c>
      <c r="N1" s="113" t="s">
        <v>4</v>
      </c>
      <c r="O1" s="113" t="s">
        <v>4</v>
      </c>
      <c r="P1" s="114" t="s">
        <v>4</v>
      </c>
      <c r="Q1" s="113" t="s">
        <v>4</v>
      </c>
      <c r="R1" s="266" t="s">
        <v>5</v>
      </c>
      <c r="S1" s="266"/>
      <c r="T1" s="266"/>
    </row>
    <row r="2" spans="1:20" s="115" customFormat="1" ht="15" x14ac:dyDescent="0.25">
      <c r="A2" s="116" t="s">
        <v>6</v>
      </c>
      <c r="B2" s="116" t="s">
        <v>7</v>
      </c>
      <c r="C2" s="116" t="s">
        <v>8</v>
      </c>
      <c r="D2" s="116" t="s">
        <v>9</v>
      </c>
      <c r="E2" s="145" t="s">
        <v>143</v>
      </c>
      <c r="F2" s="117">
        <v>2022</v>
      </c>
      <c r="G2" s="117">
        <v>2021</v>
      </c>
      <c r="H2" s="117">
        <v>2020</v>
      </c>
      <c r="I2" s="117">
        <v>2019</v>
      </c>
      <c r="J2" s="117">
        <v>2018</v>
      </c>
      <c r="K2" s="117">
        <v>2017</v>
      </c>
      <c r="L2" s="117">
        <v>2016</v>
      </c>
      <c r="M2" s="117">
        <v>2015</v>
      </c>
      <c r="N2" s="117">
        <v>2014</v>
      </c>
      <c r="O2" s="117">
        <v>2013</v>
      </c>
      <c r="P2" s="108">
        <v>2012</v>
      </c>
      <c r="Q2" s="117">
        <v>2011</v>
      </c>
      <c r="R2" s="106">
        <v>2010</v>
      </c>
      <c r="S2" s="106">
        <v>2009</v>
      </c>
      <c r="T2" s="106">
        <v>2008</v>
      </c>
    </row>
    <row r="3" spans="1:20" s="198" customFormat="1" x14ac:dyDescent="0.2">
      <c r="A3" s="195" t="s">
        <v>32</v>
      </c>
      <c r="B3" s="195" t="s">
        <v>150</v>
      </c>
      <c r="C3" s="195"/>
      <c r="D3" s="195" t="s">
        <v>15</v>
      </c>
      <c r="E3" s="196">
        <v>64</v>
      </c>
      <c r="F3" s="204">
        <v>0</v>
      </c>
      <c r="G3" s="204">
        <v>0</v>
      </c>
      <c r="H3" s="204">
        <v>0</v>
      </c>
      <c r="I3" s="204">
        <v>0</v>
      </c>
      <c r="J3" s="204">
        <v>300</v>
      </c>
      <c r="K3" s="204">
        <v>300</v>
      </c>
      <c r="L3" s="204">
        <v>0</v>
      </c>
      <c r="M3" s="204">
        <f>571.28+M15</f>
        <v>571.28</v>
      </c>
      <c r="N3" s="204">
        <v>0</v>
      </c>
      <c r="O3" s="204">
        <v>0</v>
      </c>
      <c r="P3" s="204">
        <v>0</v>
      </c>
      <c r="Q3" s="204"/>
      <c r="R3" s="205"/>
      <c r="S3" s="205"/>
      <c r="T3" s="205"/>
    </row>
    <row r="4" spans="1:20" s="198" customFormat="1" ht="13.5" thickBot="1" x14ac:dyDescent="0.25">
      <c r="A4" s="195" t="s">
        <v>53</v>
      </c>
      <c r="B4" s="195" t="s">
        <v>150</v>
      </c>
      <c r="C4" s="195"/>
      <c r="D4" s="195" t="s">
        <v>15</v>
      </c>
      <c r="E4" s="196">
        <v>65</v>
      </c>
      <c r="F4" s="204">
        <v>0</v>
      </c>
      <c r="G4" s="204">
        <v>0</v>
      </c>
      <c r="H4" s="204">
        <v>0</v>
      </c>
      <c r="I4" s="204">
        <v>0</v>
      </c>
      <c r="J4" s="204">
        <v>0</v>
      </c>
      <c r="K4" s="204">
        <v>0</v>
      </c>
      <c r="L4" s="204">
        <v>0</v>
      </c>
      <c r="M4" s="204">
        <f>+M16</f>
        <v>0</v>
      </c>
      <c r="N4" s="204">
        <v>22.98</v>
      </c>
      <c r="O4" s="204">
        <v>0</v>
      </c>
      <c r="P4" s="204">
        <v>0</v>
      </c>
      <c r="Q4" s="204">
        <v>889.44</v>
      </c>
      <c r="R4" s="205"/>
      <c r="S4" s="205"/>
      <c r="T4" s="205"/>
    </row>
    <row r="5" spans="1:20" s="203" customFormat="1" ht="13.5" thickTop="1" x14ac:dyDescent="0.2">
      <c r="A5" s="200" t="s">
        <v>32</v>
      </c>
      <c r="B5" s="200" t="s">
        <v>150</v>
      </c>
      <c r="C5" s="200"/>
      <c r="D5" s="200" t="s">
        <v>76</v>
      </c>
      <c r="E5" s="201"/>
      <c r="F5" s="206">
        <v>0</v>
      </c>
      <c r="G5" s="206">
        <v>0</v>
      </c>
      <c r="H5" s="206">
        <v>0</v>
      </c>
      <c r="I5" s="206">
        <v>0</v>
      </c>
      <c r="J5" s="206">
        <v>0</v>
      </c>
      <c r="K5" s="206">
        <v>0</v>
      </c>
      <c r="L5" s="206">
        <v>0</v>
      </c>
      <c r="M5" s="206">
        <f>+M17</f>
        <v>0</v>
      </c>
      <c r="N5" s="206">
        <v>0</v>
      </c>
      <c r="O5" s="206">
        <v>0</v>
      </c>
      <c r="P5" s="206"/>
      <c r="Q5" s="206"/>
      <c r="R5" s="207"/>
      <c r="S5" s="207"/>
      <c r="T5" s="207"/>
    </row>
    <row r="6" spans="1:20" s="198" customFormat="1" x14ac:dyDescent="0.2">
      <c r="A6" s="195" t="s">
        <v>53</v>
      </c>
      <c r="B6" s="195" t="s">
        <v>150</v>
      </c>
      <c r="C6" s="195"/>
      <c r="D6" s="195" t="s">
        <v>76</v>
      </c>
      <c r="E6" s="196"/>
      <c r="F6" s="204">
        <v>0</v>
      </c>
      <c r="G6" s="204">
        <v>0</v>
      </c>
      <c r="H6" s="204">
        <v>0</v>
      </c>
      <c r="I6" s="204">
        <v>0</v>
      </c>
      <c r="J6" s="204">
        <v>0</v>
      </c>
      <c r="K6" s="204">
        <v>0</v>
      </c>
      <c r="L6" s="204">
        <v>0</v>
      </c>
      <c r="M6" s="204">
        <f>+M18</f>
        <v>0</v>
      </c>
      <c r="N6" s="204">
        <v>0</v>
      </c>
      <c r="O6" s="204">
        <v>0</v>
      </c>
      <c r="P6" s="204"/>
      <c r="Q6" s="204">
        <v>910</v>
      </c>
      <c r="R6" s="205"/>
      <c r="S6" s="205"/>
      <c r="T6" s="205"/>
    </row>
    <row r="7" spans="1:20" x14ac:dyDescent="0.2">
      <c r="A7" s="13" t="s">
        <v>149</v>
      </c>
      <c r="F7" s="29">
        <f t="shared" ref="F7:K7" si="0">+F9+F8</f>
        <v>0</v>
      </c>
      <c r="G7" s="29">
        <f t="shared" si="0"/>
        <v>0</v>
      </c>
      <c r="H7" s="29">
        <f t="shared" si="0"/>
        <v>0</v>
      </c>
      <c r="I7" s="29">
        <f t="shared" si="0"/>
        <v>0</v>
      </c>
      <c r="J7" s="29">
        <f t="shared" si="0"/>
        <v>-300</v>
      </c>
      <c r="K7" s="29">
        <f t="shared" si="0"/>
        <v>-300</v>
      </c>
      <c r="L7" s="29">
        <f t="shared" ref="L7:Q7" si="1">+L9+L8</f>
        <v>0</v>
      </c>
      <c r="M7" s="29">
        <f t="shared" si="1"/>
        <v>-571.28</v>
      </c>
      <c r="N7" s="29">
        <f t="shared" si="1"/>
        <v>-22.98</v>
      </c>
      <c r="O7" s="29">
        <f t="shared" si="1"/>
        <v>0</v>
      </c>
      <c r="P7" s="29">
        <f t="shared" si="1"/>
        <v>0</v>
      </c>
      <c r="Q7" s="29">
        <f t="shared" si="1"/>
        <v>20.559999999999945</v>
      </c>
    </row>
    <row r="8" spans="1:20" x14ac:dyDescent="0.2">
      <c r="A8" s="13" t="s">
        <v>75</v>
      </c>
      <c r="F8" s="29">
        <f t="shared" ref="F8:K8" si="2">SUM(F5:F6)</f>
        <v>0</v>
      </c>
      <c r="G8" s="29">
        <f t="shared" si="2"/>
        <v>0</v>
      </c>
      <c r="H8" s="29">
        <f t="shared" si="2"/>
        <v>0</v>
      </c>
      <c r="I8" s="29">
        <f t="shared" si="2"/>
        <v>0</v>
      </c>
      <c r="J8" s="29">
        <f t="shared" si="2"/>
        <v>0</v>
      </c>
      <c r="K8" s="29">
        <f t="shared" si="2"/>
        <v>0</v>
      </c>
      <c r="L8" s="29">
        <f t="shared" ref="L8:Q8" si="3">SUM(L5:L6)</f>
        <v>0</v>
      </c>
      <c r="M8" s="29">
        <f t="shared" si="3"/>
        <v>0</v>
      </c>
      <c r="N8" s="29">
        <f t="shared" si="3"/>
        <v>0</v>
      </c>
      <c r="O8" s="29">
        <f t="shared" si="3"/>
        <v>0</v>
      </c>
      <c r="P8" s="29">
        <f t="shared" si="3"/>
        <v>0</v>
      </c>
      <c r="Q8" s="29">
        <f t="shared" si="3"/>
        <v>910</v>
      </c>
    </row>
    <row r="9" spans="1:20" x14ac:dyDescent="0.2">
      <c r="A9" s="13" t="s">
        <v>14</v>
      </c>
      <c r="F9" s="29">
        <f t="shared" ref="F9:K9" si="4">-SUM(F3:F4)</f>
        <v>0</v>
      </c>
      <c r="G9" s="29">
        <f t="shared" si="4"/>
        <v>0</v>
      </c>
      <c r="H9" s="29">
        <f t="shared" si="4"/>
        <v>0</v>
      </c>
      <c r="I9" s="29">
        <f t="shared" si="4"/>
        <v>0</v>
      </c>
      <c r="J9" s="29">
        <f t="shared" si="4"/>
        <v>-300</v>
      </c>
      <c r="K9" s="29">
        <f t="shared" si="4"/>
        <v>-300</v>
      </c>
      <c r="L9" s="29">
        <f t="shared" ref="L9:Q9" si="5">-SUM(L3:L4)</f>
        <v>0</v>
      </c>
      <c r="M9" s="29">
        <f t="shared" si="5"/>
        <v>-571.28</v>
      </c>
      <c r="N9" s="29">
        <f t="shared" si="5"/>
        <v>-22.98</v>
      </c>
      <c r="O9" s="29">
        <f t="shared" si="5"/>
        <v>0</v>
      </c>
      <c r="P9" s="29">
        <f t="shared" si="5"/>
        <v>0</v>
      </c>
      <c r="Q9" s="29">
        <f t="shared" si="5"/>
        <v>-889.44</v>
      </c>
    </row>
    <row r="10" spans="1:20" x14ac:dyDescent="0.2">
      <c r="F10"/>
      <c r="G10"/>
      <c r="H10"/>
      <c r="I10"/>
      <c r="J10"/>
      <c r="K10"/>
      <c r="L10"/>
      <c r="M10"/>
      <c r="N10"/>
    </row>
    <row r="13" spans="1:20" x14ac:dyDescent="0.2">
      <c r="A13" s="267" t="s">
        <v>209</v>
      </c>
      <c r="B13" s="267"/>
      <c r="C13" s="267"/>
      <c r="D13" s="267"/>
      <c r="E13" s="145"/>
      <c r="F13" s="113" t="s">
        <v>3</v>
      </c>
      <c r="G13" s="113" t="s">
        <v>3</v>
      </c>
      <c r="H13" s="113" t="s">
        <v>3</v>
      </c>
      <c r="I13" s="113" t="s">
        <v>3</v>
      </c>
      <c r="J13" s="113" t="s">
        <v>3</v>
      </c>
      <c r="K13" s="4" t="s">
        <v>4</v>
      </c>
      <c r="L13" s="4" t="s">
        <v>4</v>
      </c>
      <c r="M13" s="4" t="s">
        <v>4</v>
      </c>
    </row>
    <row r="14" spans="1:20" x14ac:dyDescent="0.2">
      <c r="A14" s="116" t="s">
        <v>6</v>
      </c>
      <c r="B14" s="116" t="s">
        <v>7</v>
      </c>
      <c r="C14" s="116" t="s">
        <v>8</v>
      </c>
      <c r="D14" s="116" t="s">
        <v>9</v>
      </c>
      <c r="E14" s="145" t="s">
        <v>143</v>
      </c>
      <c r="F14" s="117">
        <f t="shared" ref="F14:K14" si="6">F2</f>
        <v>2022</v>
      </c>
      <c r="G14" s="117">
        <f t="shared" si="6"/>
        <v>2021</v>
      </c>
      <c r="H14" s="117">
        <f t="shared" si="6"/>
        <v>2020</v>
      </c>
      <c r="I14" s="117">
        <f t="shared" si="6"/>
        <v>2019</v>
      </c>
      <c r="J14" s="117">
        <f t="shared" si="6"/>
        <v>2018</v>
      </c>
      <c r="K14" s="117">
        <f t="shared" si="6"/>
        <v>2017</v>
      </c>
      <c r="L14" s="117">
        <v>2016</v>
      </c>
      <c r="M14" s="117">
        <v>2015</v>
      </c>
    </row>
    <row r="15" spans="1:20" x14ac:dyDescent="0.2">
      <c r="A15" s="115" t="s">
        <v>32</v>
      </c>
      <c r="B15" s="115" t="s">
        <v>150</v>
      </c>
      <c r="C15" s="115"/>
      <c r="D15" s="115" t="s">
        <v>15</v>
      </c>
      <c r="E15" s="145">
        <v>64</v>
      </c>
      <c r="F15" s="118">
        <v>0</v>
      </c>
      <c r="G15" s="118">
        <v>0</v>
      </c>
      <c r="H15" s="118">
        <v>0</v>
      </c>
      <c r="I15" s="118">
        <v>300</v>
      </c>
      <c r="J15" s="118">
        <v>300</v>
      </c>
      <c r="K15" s="118">
        <v>300</v>
      </c>
      <c r="L15" s="118"/>
      <c r="M15" s="110">
        <v>0</v>
      </c>
    </row>
    <row r="16" spans="1:20" x14ac:dyDescent="0.2">
      <c r="A16" s="115" t="s">
        <v>53</v>
      </c>
      <c r="B16" s="115" t="s">
        <v>150</v>
      </c>
      <c r="C16" s="115"/>
      <c r="D16" s="115" t="s">
        <v>15</v>
      </c>
      <c r="E16" s="145">
        <v>65</v>
      </c>
      <c r="F16" s="118"/>
      <c r="G16" s="118"/>
      <c r="H16" s="118"/>
      <c r="I16" s="118"/>
      <c r="J16" s="118"/>
      <c r="K16" s="118"/>
      <c r="L16" s="118"/>
      <c r="M16" s="110">
        <v>0</v>
      </c>
    </row>
    <row r="17" spans="1:13" x14ac:dyDescent="0.2">
      <c r="A17" s="115" t="s">
        <v>32</v>
      </c>
      <c r="B17" s="115" t="s">
        <v>150</v>
      </c>
      <c r="C17" s="115"/>
      <c r="D17" s="115" t="s">
        <v>76</v>
      </c>
      <c r="E17" s="145"/>
      <c r="F17" s="118"/>
      <c r="G17" s="118"/>
      <c r="H17" s="118"/>
      <c r="I17" s="118"/>
      <c r="J17" s="118"/>
      <c r="K17" s="118"/>
      <c r="L17" s="118"/>
      <c r="M17" s="110">
        <v>0</v>
      </c>
    </row>
    <row r="18" spans="1:13" x14ac:dyDescent="0.2">
      <c r="A18" s="115" t="s">
        <v>53</v>
      </c>
      <c r="B18" s="115" t="s">
        <v>150</v>
      </c>
      <c r="C18" s="115"/>
      <c r="D18" s="115" t="s">
        <v>76</v>
      </c>
      <c r="E18" s="145"/>
      <c r="F18" s="118"/>
      <c r="G18" s="118"/>
      <c r="H18" s="118"/>
      <c r="I18" s="118"/>
      <c r="J18" s="118"/>
      <c r="K18" s="118"/>
      <c r="L18" s="118"/>
      <c r="M18" s="110">
        <v>0</v>
      </c>
    </row>
    <row r="21" spans="1:13" x14ac:dyDescent="0.2">
      <c r="A21" t="s">
        <v>215</v>
      </c>
      <c r="M21" s="29">
        <f>SUM(M15:M16)</f>
        <v>0</v>
      </c>
    </row>
    <row r="22" spans="1:13" x14ac:dyDescent="0.2">
      <c r="A22" t="s">
        <v>216</v>
      </c>
      <c r="M22" s="29">
        <f>SUM(M17:M18)</f>
        <v>0</v>
      </c>
    </row>
    <row r="23" spans="1:13" x14ac:dyDescent="0.2">
      <c r="A23" t="s">
        <v>217</v>
      </c>
      <c r="M23" s="143">
        <f>+M22-M21</f>
        <v>0</v>
      </c>
    </row>
  </sheetData>
  <sheetProtection selectLockedCells="1" selectUnlockedCells="1"/>
  <customSheetViews>
    <customSheetView guid="{2689D123-C182-4EB2-AD12-2EBB4C48D466}" hiddenColumns="1">
      <selection activeCell="G3" sqref="G3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  <customSheetView guid="{66341D55-D973-4BB5-9B70-DB158BEA4662}" hiddenColumns="1">
      <selection activeCell="G3" sqref="G3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</customSheetViews>
  <mergeCells count="3">
    <mergeCell ref="A1:D1"/>
    <mergeCell ref="R1:T1"/>
    <mergeCell ref="A13:D13"/>
  </mergeCells>
  <phoneticPr fontId="9" type="noConversion"/>
  <pageMargins left="0.75" right="0.75" top="1" bottom="1" header="0.51180555555555551" footer="0.51180555555555551"/>
  <pageSetup firstPageNumber="0" orientation="landscape" r:id="rId1"/>
  <headerFooter alignWithMargins="0">
    <oddHeader>&amp;CCRUISING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22"/>
  </sheetPr>
  <dimension ref="A1:T22"/>
  <sheetViews>
    <sheetView zoomScaleNormal="100" workbookViewId="0">
      <selection activeCell="D22" sqref="D22"/>
    </sheetView>
  </sheetViews>
  <sheetFormatPr defaultRowHeight="12.75" x14ac:dyDescent="0.2"/>
  <cols>
    <col min="1" max="1" width="24.7109375" customWidth="1"/>
    <col min="2" max="2" width="0" hidden="1" customWidth="1"/>
    <col min="3" max="3" width="11" hidden="1" customWidth="1"/>
    <col min="4" max="4" width="16.140625" customWidth="1"/>
    <col min="5" max="5" width="5.28515625" style="146" hidden="1" customWidth="1"/>
    <col min="6" max="11" width="10.85546875" style="69" bestFit="1" customWidth="1"/>
    <col min="12" max="12" width="9.28515625" style="69" bestFit="1" customWidth="1"/>
    <col min="13" max="13" width="10.85546875" style="69" hidden="1" customWidth="1"/>
    <col min="14" max="14" width="14.7109375" style="69" hidden="1" customWidth="1"/>
    <col min="15" max="15" width="6.7109375" hidden="1" customWidth="1"/>
    <col min="16" max="16" width="10.85546875" hidden="1" customWidth="1"/>
    <col min="17" max="17" width="6.7109375" hidden="1" customWidth="1"/>
    <col min="18" max="20" width="11.28515625" hidden="1" customWidth="1"/>
  </cols>
  <sheetData>
    <row r="1" spans="1:20" s="115" customFormat="1" ht="15" x14ac:dyDescent="0.25">
      <c r="A1" s="265" t="s">
        <v>0</v>
      </c>
      <c r="B1" s="265"/>
      <c r="C1" s="265"/>
      <c r="D1" s="265"/>
      <c r="E1" s="145"/>
      <c r="F1" s="113" t="s">
        <v>258</v>
      </c>
      <c r="G1" s="113" t="s">
        <v>4</v>
      </c>
      <c r="H1" s="113" t="s">
        <v>4</v>
      </c>
      <c r="I1" s="113" t="s">
        <v>4</v>
      </c>
      <c r="J1" s="113" t="s">
        <v>4</v>
      </c>
      <c r="K1" s="113" t="s">
        <v>4</v>
      </c>
      <c r="L1" s="4" t="s">
        <v>4</v>
      </c>
      <c r="M1" s="4" t="s">
        <v>4</v>
      </c>
      <c r="N1" s="113" t="s">
        <v>4</v>
      </c>
      <c r="O1" s="113" t="s">
        <v>4</v>
      </c>
      <c r="P1" s="114" t="s">
        <v>4</v>
      </c>
      <c r="Q1" s="113" t="s">
        <v>4</v>
      </c>
      <c r="R1" s="266" t="s">
        <v>5</v>
      </c>
      <c r="S1" s="266"/>
      <c r="T1" s="266"/>
    </row>
    <row r="2" spans="1:20" s="115" customFormat="1" ht="15" x14ac:dyDescent="0.25">
      <c r="A2" s="116" t="s">
        <v>6</v>
      </c>
      <c r="B2" s="116" t="s">
        <v>7</v>
      </c>
      <c r="C2" s="116" t="s">
        <v>8</v>
      </c>
      <c r="D2" s="116" t="s">
        <v>9</v>
      </c>
      <c r="E2" s="145" t="s">
        <v>143</v>
      </c>
      <c r="F2" s="117">
        <v>2022</v>
      </c>
      <c r="G2" s="117">
        <v>2021</v>
      </c>
      <c r="H2" s="117">
        <v>2020</v>
      </c>
      <c r="I2" s="117">
        <v>2019</v>
      </c>
      <c r="J2" s="117">
        <v>2018</v>
      </c>
      <c r="K2" s="117">
        <v>2017</v>
      </c>
      <c r="L2" s="117">
        <v>2016</v>
      </c>
      <c r="M2" s="117">
        <v>2015</v>
      </c>
      <c r="N2" s="117">
        <v>2014</v>
      </c>
      <c r="O2" s="117">
        <v>2013</v>
      </c>
      <c r="P2" s="108">
        <v>2012</v>
      </c>
      <c r="Q2" s="117">
        <v>2011</v>
      </c>
      <c r="R2" s="106">
        <v>2010</v>
      </c>
      <c r="S2" s="106">
        <v>2009</v>
      </c>
      <c r="T2" s="106">
        <v>2008</v>
      </c>
    </row>
    <row r="3" spans="1:20" s="187" customFormat="1" x14ac:dyDescent="0.2">
      <c r="A3" s="187" t="s">
        <v>247</v>
      </c>
      <c r="B3" s="187" t="s">
        <v>44</v>
      </c>
      <c r="D3" s="187" t="s">
        <v>15</v>
      </c>
      <c r="E3" s="188">
        <v>58</v>
      </c>
      <c r="F3" s="271">
        <v>1520</v>
      </c>
      <c r="G3" s="189">
        <v>4682</v>
      </c>
      <c r="H3" s="189">
        <v>400</v>
      </c>
      <c r="I3" s="189">
        <v>2252</v>
      </c>
      <c r="J3" s="189">
        <v>275</v>
      </c>
      <c r="K3" s="243">
        <v>1291.49</v>
      </c>
      <c r="L3" s="243">
        <v>128.94</v>
      </c>
      <c r="M3" s="189">
        <v>1463.58</v>
      </c>
      <c r="N3" s="189">
        <v>0</v>
      </c>
      <c r="O3" s="189">
        <v>0</v>
      </c>
      <c r="P3" s="189">
        <v>2641</v>
      </c>
      <c r="Q3" s="189"/>
      <c r="R3" s="189"/>
      <c r="S3" s="189">
        <v>1140</v>
      </c>
      <c r="T3" s="189"/>
    </row>
    <row r="4" spans="1:20" s="187" customFormat="1" ht="13.5" thickBot="1" x14ac:dyDescent="0.25">
      <c r="A4" s="187" t="s">
        <v>239</v>
      </c>
      <c r="E4" s="188"/>
      <c r="F4" s="189">
        <v>100</v>
      </c>
      <c r="G4" s="189">
        <v>100</v>
      </c>
      <c r="H4" s="189"/>
      <c r="I4" s="189"/>
      <c r="J4" s="189"/>
      <c r="K4" s="189"/>
      <c r="L4" s="190"/>
      <c r="M4" s="189"/>
      <c r="N4" s="189"/>
      <c r="O4" s="189"/>
      <c r="P4" s="189"/>
      <c r="Q4" s="189"/>
      <c r="R4" s="189"/>
      <c r="S4" s="189"/>
      <c r="T4" s="189"/>
    </row>
    <row r="5" spans="1:20" s="183" customFormat="1" ht="13.5" thickTop="1" x14ac:dyDescent="0.2">
      <c r="D5" s="183" t="s">
        <v>76</v>
      </c>
      <c r="E5" s="185"/>
      <c r="F5" s="186">
        <v>0</v>
      </c>
      <c r="G5" s="186">
        <v>0</v>
      </c>
      <c r="H5" s="186">
        <v>0</v>
      </c>
      <c r="I5" s="186">
        <v>0</v>
      </c>
      <c r="J5" s="186">
        <v>0</v>
      </c>
      <c r="K5" s="186">
        <v>0</v>
      </c>
      <c r="L5" s="186">
        <v>0</v>
      </c>
      <c r="M5" s="186">
        <f>+M17</f>
        <v>0</v>
      </c>
      <c r="N5" s="186"/>
    </row>
    <row r="6" spans="1:20" x14ac:dyDescent="0.2">
      <c r="A6" s="13" t="s">
        <v>149</v>
      </c>
      <c r="F6" s="29">
        <f t="shared" ref="F6:K6" si="0">+F7+F8</f>
        <v>-1520</v>
      </c>
      <c r="G6" s="29">
        <f t="shared" si="0"/>
        <v>-4682</v>
      </c>
      <c r="H6" s="29">
        <f t="shared" si="0"/>
        <v>-400</v>
      </c>
      <c r="I6" s="29">
        <f t="shared" si="0"/>
        <v>-2252</v>
      </c>
      <c r="J6" s="29">
        <f t="shared" si="0"/>
        <v>-275</v>
      </c>
      <c r="K6" s="29">
        <f t="shared" si="0"/>
        <v>-1291.49</v>
      </c>
      <c r="L6" s="29">
        <f t="shared" ref="L6:T6" si="1">+L7+L8</f>
        <v>-128.94</v>
      </c>
      <c r="M6" s="29">
        <f>+M7+M8</f>
        <v>-1463.58</v>
      </c>
      <c r="N6" s="29">
        <f t="shared" si="1"/>
        <v>0</v>
      </c>
      <c r="O6" s="29">
        <f t="shared" si="1"/>
        <v>0</v>
      </c>
      <c r="P6" s="29">
        <f t="shared" si="1"/>
        <v>-2641</v>
      </c>
      <c r="Q6" s="29">
        <f t="shared" si="1"/>
        <v>0</v>
      </c>
      <c r="R6" s="29">
        <f t="shared" si="1"/>
        <v>0</v>
      </c>
      <c r="S6" s="29">
        <f t="shared" si="1"/>
        <v>-1140</v>
      </c>
      <c r="T6" s="29">
        <f t="shared" si="1"/>
        <v>0</v>
      </c>
    </row>
    <row r="7" spans="1:20" x14ac:dyDescent="0.2">
      <c r="A7" s="13" t="s">
        <v>75</v>
      </c>
      <c r="F7" s="29">
        <f t="shared" ref="F7:K7" si="2">SUM(F5:F5)</f>
        <v>0</v>
      </c>
      <c r="G7" s="29">
        <f t="shared" si="2"/>
        <v>0</v>
      </c>
      <c r="H7" s="29">
        <f t="shared" si="2"/>
        <v>0</v>
      </c>
      <c r="I7" s="29">
        <f t="shared" si="2"/>
        <v>0</v>
      </c>
      <c r="J7" s="29">
        <f t="shared" si="2"/>
        <v>0</v>
      </c>
      <c r="K7" s="29">
        <f t="shared" si="2"/>
        <v>0</v>
      </c>
      <c r="L7" s="29">
        <f t="shared" ref="L7:T7" si="3">SUM(L5:L5)</f>
        <v>0</v>
      </c>
      <c r="M7" s="29">
        <f>SUM(M5:M5)</f>
        <v>0</v>
      </c>
      <c r="N7" s="29">
        <f t="shared" si="3"/>
        <v>0</v>
      </c>
      <c r="O7" s="29">
        <f t="shared" si="3"/>
        <v>0</v>
      </c>
      <c r="P7" s="29">
        <f t="shared" si="3"/>
        <v>0</v>
      </c>
      <c r="Q7" s="29">
        <f t="shared" si="3"/>
        <v>0</v>
      </c>
      <c r="R7" s="29">
        <f t="shared" si="3"/>
        <v>0</v>
      </c>
      <c r="S7" s="29">
        <f t="shared" si="3"/>
        <v>0</v>
      </c>
      <c r="T7" s="29">
        <f t="shared" si="3"/>
        <v>0</v>
      </c>
    </row>
    <row r="8" spans="1:20" x14ac:dyDescent="0.2">
      <c r="A8" s="13" t="s">
        <v>14</v>
      </c>
      <c r="F8" s="29">
        <f t="shared" ref="F8:K8" si="4">-SUM(F3:F3)</f>
        <v>-1520</v>
      </c>
      <c r="G8" s="29">
        <f t="shared" si="4"/>
        <v>-4682</v>
      </c>
      <c r="H8" s="29">
        <f t="shared" si="4"/>
        <v>-400</v>
      </c>
      <c r="I8" s="29">
        <f t="shared" si="4"/>
        <v>-2252</v>
      </c>
      <c r="J8" s="29">
        <f t="shared" si="4"/>
        <v>-275</v>
      </c>
      <c r="K8" s="29">
        <f t="shared" si="4"/>
        <v>-1291.49</v>
      </c>
      <c r="L8" s="29">
        <f t="shared" ref="L8:T8" si="5">-SUM(L3:L3)</f>
        <v>-128.94</v>
      </c>
      <c r="M8" s="29">
        <f>-SUM(M3:M3)</f>
        <v>-1463.58</v>
      </c>
      <c r="N8" s="29">
        <f t="shared" si="5"/>
        <v>0</v>
      </c>
      <c r="O8" s="29">
        <f t="shared" si="5"/>
        <v>0</v>
      </c>
      <c r="P8" s="29">
        <f t="shared" si="5"/>
        <v>-2641</v>
      </c>
      <c r="Q8" s="29">
        <f t="shared" si="5"/>
        <v>0</v>
      </c>
      <c r="R8" s="29">
        <f t="shared" si="5"/>
        <v>0</v>
      </c>
      <c r="S8" s="29">
        <f t="shared" si="5"/>
        <v>-1140</v>
      </c>
      <c r="T8" s="29">
        <f t="shared" si="5"/>
        <v>0</v>
      </c>
    </row>
    <row r="11" spans="1:20" x14ac:dyDescent="0.2">
      <c r="A11" t="s">
        <v>151</v>
      </c>
      <c r="C11" t="s">
        <v>152</v>
      </c>
      <c r="F11" s="29">
        <v>0</v>
      </c>
      <c r="G11" s="29">
        <v>0</v>
      </c>
      <c r="H11" s="29">
        <v>0</v>
      </c>
      <c r="I11" s="29">
        <v>500</v>
      </c>
      <c r="J11" s="29">
        <v>500</v>
      </c>
      <c r="K11" s="29">
        <v>500</v>
      </c>
      <c r="L11" s="29">
        <v>500</v>
      </c>
      <c r="M11" s="29">
        <v>500</v>
      </c>
    </row>
    <row r="14" spans="1:20" x14ac:dyDescent="0.2">
      <c r="A14" s="267" t="s">
        <v>209</v>
      </c>
      <c r="B14" s="267"/>
      <c r="C14" s="267"/>
      <c r="D14" s="267"/>
      <c r="F14" s="113" t="s">
        <v>3</v>
      </c>
      <c r="G14" s="113" t="s">
        <v>3</v>
      </c>
      <c r="H14" s="113" t="s">
        <v>3</v>
      </c>
      <c r="I14" s="113" t="s">
        <v>3</v>
      </c>
      <c r="J14" s="113" t="s">
        <v>3</v>
      </c>
      <c r="K14" s="4" t="s">
        <v>4</v>
      </c>
      <c r="L14" s="4" t="s">
        <v>4</v>
      </c>
      <c r="M14" s="4" t="s">
        <v>4</v>
      </c>
    </row>
    <row r="15" spans="1:20" x14ac:dyDescent="0.2">
      <c r="A15" s="116" t="s">
        <v>6</v>
      </c>
      <c r="B15" s="116" t="s">
        <v>7</v>
      </c>
      <c r="C15" s="116" t="s">
        <v>8</v>
      </c>
      <c r="D15" s="116" t="s">
        <v>9</v>
      </c>
      <c r="E15" s="145" t="s">
        <v>143</v>
      </c>
      <c r="F15" s="117">
        <f t="shared" ref="F15:K15" si="6">F2</f>
        <v>2022</v>
      </c>
      <c r="G15" s="117">
        <f t="shared" si="6"/>
        <v>2021</v>
      </c>
      <c r="H15" s="117">
        <f t="shared" si="6"/>
        <v>2020</v>
      </c>
      <c r="I15" s="117">
        <f t="shared" si="6"/>
        <v>2019</v>
      </c>
      <c r="J15" s="117">
        <f t="shared" si="6"/>
        <v>2018</v>
      </c>
      <c r="K15" s="117">
        <f t="shared" si="6"/>
        <v>2017</v>
      </c>
      <c r="L15" s="117">
        <v>2016</v>
      </c>
      <c r="M15" s="117">
        <v>2015</v>
      </c>
    </row>
    <row r="16" spans="1:20" x14ac:dyDescent="0.2">
      <c r="A16" s="115" t="s">
        <v>45</v>
      </c>
      <c r="B16" s="115" t="s">
        <v>44</v>
      </c>
      <c r="C16" s="115"/>
      <c r="D16" s="115" t="s">
        <v>15</v>
      </c>
      <c r="E16" s="145">
        <v>58</v>
      </c>
      <c r="F16" s="118">
        <v>0</v>
      </c>
      <c r="G16" s="118">
        <v>0</v>
      </c>
      <c r="H16" s="118">
        <v>0</v>
      </c>
      <c r="I16" s="118">
        <v>500</v>
      </c>
      <c r="J16" s="118">
        <v>500</v>
      </c>
      <c r="K16" s="118">
        <v>1291.49</v>
      </c>
      <c r="L16" s="118"/>
      <c r="M16" s="110"/>
      <c r="N16" s="69" t="s">
        <v>210</v>
      </c>
    </row>
    <row r="17" spans="1:13" x14ac:dyDescent="0.2">
      <c r="D17" t="s">
        <v>76</v>
      </c>
      <c r="F17" s="118">
        <v>0</v>
      </c>
      <c r="G17" s="118">
        <v>0</v>
      </c>
      <c r="H17" s="118">
        <v>0</v>
      </c>
      <c r="I17" s="118">
        <v>0</v>
      </c>
      <c r="J17" s="118">
        <v>0</v>
      </c>
      <c r="K17" s="118">
        <v>0</v>
      </c>
      <c r="L17" s="118"/>
      <c r="M17" s="110">
        <v>0</v>
      </c>
    </row>
    <row r="18" spans="1:13" x14ac:dyDescent="0.2">
      <c r="F18" s="118"/>
      <c r="G18" s="118"/>
      <c r="H18" s="118"/>
      <c r="I18" s="118"/>
      <c r="J18" s="118"/>
      <c r="K18" s="118"/>
      <c r="L18" s="118"/>
      <c r="M18" s="110"/>
    </row>
    <row r="19" spans="1:13" x14ac:dyDescent="0.2">
      <c r="F19" s="118"/>
      <c r="G19" s="118"/>
      <c r="H19" s="118"/>
      <c r="I19" s="118"/>
      <c r="J19" s="118"/>
      <c r="K19" s="118"/>
      <c r="L19" s="118"/>
      <c r="M19" s="110"/>
    </row>
    <row r="20" spans="1:13" x14ac:dyDescent="0.2">
      <c r="A20" t="s">
        <v>215</v>
      </c>
      <c r="F20" s="120">
        <f t="shared" ref="F20:H21" si="7">F16</f>
        <v>0</v>
      </c>
      <c r="G20" s="120">
        <f t="shared" si="7"/>
        <v>0</v>
      </c>
      <c r="H20" s="120">
        <f t="shared" si="7"/>
        <v>0</v>
      </c>
      <c r="I20" s="120">
        <f t="shared" ref="I20:K21" si="8">I16</f>
        <v>500</v>
      </c>
      <c r="J20" s="120">
        <f t="shared" si="8"/>
        <v>500</v>
      </c>
      <c r="K20" s="120">
        <f t="shared" si="8"/>
        <v>1291.49</v>
      </c>
      <c r="M20" s="29">
        <f>+M16</f>
        <v>0</v>
      </c>
    </row>
    <row r="21" spans="1:13" x14ac:dyDescent="0.2">
      <c r="A21" t="s">
        <v>216</v>
      </c>
      <c r="F21" s="120">
        <f t="shared" si="7"/>
        <v>0</v>
      </c>
      <c r="G21" s="120">
        <f t="shared" si="7"/>
        <v>0</v>
      </c>
      <c r="H21" s="120">
        <f t="shared" si="7"/>
        <v>0</v>
      </c>
      <c r="I21" s="120">
        <f t="shared" si="8"/>
        <v>0</v>
      </c>
      <c r="J21" s="120">
        <f t="shared" si="8"/>
        <v>0</v>
      </c>
      <c r="K21" s="120">
        <f t="shared" si="8"/>
        <v>0</v>
      </c>
      <c r="M21" s="29">
        <f>+M17</f>
        <v>0</v>
      </c>
    </row>
    <row r="22" spans="1:13" x14ac:dyDescent="0.2">
      <c r="A22" t="s">
        <v>217</v>
      </c>
      <c r="M22" s="143">
        <f>+M21-M20</f>
        <v>0</v>
      </c>
    </row>
  </sheetData>
  <sheetProtection selectLockedCells="1" selectUnlockedCells="1"/>
  <customSheetViews>
    <customSheetView guid="{2689D123-C182-4EB2-AD12-2EBB4C48D466}">
      <selection activeCell="A19" sqref="A19:G21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  <customSheetView guid="{66341D55-D973-4BB5-9B70-DB158BEA4662}">
      <selection activeCell="A13" sqref="A13:H21"/>
      <pageMargins left="0.75" right="0.75" top="1" bottom="1" header="0.51180555555555551" footer="0.51180555555555551"/>
      <pageSetup firstPageNumber="0" orientation="portrait" horizontalDpi="300" verticalDpi="300" r:id="rId1"/>
      <headerFooter alignWithMargins="0"/>
    </customSheetView>
  </customSheetViews>
  <mergeCells count="3">
    <mergeCell ref="A1:D1"/>
    <mergeCell ref="R1:T1"/>
    <mergeCell ref="A14:D14"/>
  </mergeCells>
  <phoneticPr fontId="9" type="noConversion"/>
  <pageMargins left="0.75" right="0.75" top="1" bottom="1" header="0.51180555555555551" footer="0.51180555555555551"/>
  <pageSetup firstPageNumber="0" orientation="landscape" r:id="rId2"/>
  <headerFooter alignWithMargins="0">
    <oddHeader>&amp;CFACILITIES</oddHeader>
  </headerFooter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3"/>
    <pageSetUpPr fitToPage="1"/>
  </sheetPr>
  <dimension ref="A1:V55"/>
  <sheetViews>
    <sheetView zoomScaleNormal="100" workbookViewId="0">
      <selection activeCell="F20" sqref="F20"/>
    </sheetView>
  </sheetViews>
  <sheetFormatPr defaultColWidth="11.7109375" defaultRowHeight="12.75" x14ac:dyDescent="0.2"/>
  <cols>
    <col min="1" max="1" width="25.140625" customWidth="1"/>
    <col min="2" max="2" width="11.7109375" hidden="1" customWidth="1"/>
    <col min="3" max="3" width="14" hidden="1" customWidth="1"/>
    <col min="4" max="4" width="11.7109375" hidden="1" customWidth="1"/>
    <col min="5" max="5" width="1.85546875" style="146" hidden="1" customWidth="1"/>
    <col min="6" max="12" width="14.5703125" style="69" customWidth="1"/>
    <col min="13" max="13" width="14.5703125" style="69" hidden="1" customWidth="1"/>
    <col min="14" max="14" width="0" style="69" hidden="1" customWidth="1"/>
    <col min="15" max="20" width="0" hidden="1" customWidth="1"/>
  </cols>
  <sheetData>
    <row r="1" spans="1:20" s="69" customFormat="1" ht="15" x14ac:dyDescent="0.25">
      <c r="A1" s="268" t="s">
        <v>0</v>
      </c>
      <c r="B1" s="268"/>
      <c r="C1" s="268"/>
      <c r="D1" s="268"/>
      <c r="E1" s="148"/>
      <c r="F1" s="4" t="s">
        <v>258</v>
      </c>
      <c r="G1" s="4" t="s">
        <v>4</v>
      </c>
      <c r="H1" s="4" t="s">
        <v>4</v>
      </c>
      <c r="I1" s="4" t="s">
        <v>4</v>
      </c>
      <c r="J1" s="4" t="s">
        <v>4</v>
      </c>
      <c r="K1" s="4" t="s">
        <v>4</v>
      </c>
      <c r="L1" s="4" t="s">
        <v>4</v>
      </c>
      <c r="M1" s="4" t="s">
        <v>4</v>
      </c>
      <c r="N1" s="4" t="s">
        <v>4</v>
      </c>
      <c r="O1" s="4" t="s">
        <v>4</v>
      </c>
      <c r="P1" s="105" t="s">
        <v>4</v>
      </c>
      <c r="Q1" s="4" t="s">
        <v>4</v>
      </c>
      <c r="R1" s="269" t="s">
        <v>5</v>
      </c>
      <c r="S1" s="269"/>
      <c r="T1" s="269"/>
    </row>
    <row r="2" spans="1:20" s="69" customFormat="1" ht="15" x14ac:dyDescent="0.25">
      <c r="A2" s="107" t="s">
        <v>6</v>
      </c>
      <c r="B2" s="107" t="s">
        <v>7</v>
      </c>
      <c r="C2" s="107" t="s">
        <v>8</v>
      </c>
      <c r="D2" s="107" t="s">
        <v>9</v>
      </c>
      <c r="E2" s="148" t="s">
        <v>143</v>
      </c>
      <c r="F2" s="17">
        <v>2022</v>
      </c>
      <c r="G2" s="17">
        <v>2021</v>
      </c>
      <c r="H2" s="17">
        <v>2020</v>
      </c>
      <c r="I2" s="17">
        <v>2019</v>
      </c>
      <c r="J2" s="17">
        <v>2018</v>
      </c>
      <c r="K2" s="17">
        <v>2017</v>
      </c>
      <c r="L2" s="17">
        <v>2016</v>
      </c>
      <c r="M2" s="17">
        <v>2015</v>
      </c>
      <c r="N2" s="17">
        <v>2014</v>
      </c>
      <c r="O2" s="17">
        <v>2013</v>
      </c>
      <c r="P2" s="108">
        <v>2012</v>
      </c>
      <c r="Q2" s="17">
        <v>2011</v>
      </c>
      <c r="R2" s="106">
        <v>2010</v>
      </c>
      <c r="S2" s="106">
        <v>2009</v>
      </c>
      <c r="T2" s="106">
        <v>2008</v>
      </c>
    </row>
    <row r="3" spans="1:20" s="154" customFormat="1" x14ac:dyDescent="0.2">
      <c r="A3" s="184" t="s">
        <v>262</v>
      </c>
      <c r="B3" s="166" t="s">
        <v>144</v>
      </c>
      <c r="C3" s="166" t="s">
        <v>17</v>
      </c>
      <c r="D3" s="154" t="s">
        <v>15</v>
      </c>
      <c r="E3" s="156">
        <v>34</v>
      </c>
      <c r="F3" s="246">
        <v>0</v>
      </c>
      <c r="G3" s="246">
        <v>146</v>
      </c>
      <c r="H3" s="246">
        <v>30.56</v>
      </c>
      <c r="I3" s="246">
        <v>0</v>
      </c>
      <c r="J3" s="246">
        <v>110</v>
      </c>
      <c r="K3" s="248">
        <v>57.96</v>
      </c>
      <c r="L3" s="180">
        <v>866.05</v>
      </c>
      <c r="M3" s="157">
        <v>612.01</v>
      </c>
      <c r="N3" s="157">
        <f>1605.13-400</f>
        <v>1205.1300000000001</v>
      </c>
      <c r="O3" s="157">
        <v>0</v>
      </c>
      <c r="P3" s="157">
        <v>0</v>
      </c>
      <c r="Q3" s="157"/>
      <c r="R3" s="158">
        <v>285</v>
      </c>
      <c r="S3" s="158">
        <v>204</v>
      </c>
      <c r="T3" s="158">
        <f>469+29</f>
        <v>498</v>
      </c>
    </row>
    <row r="4" spans="1:20" s="154" customFormat="1" x14ac:dyDescent="0.2">
      <c r="A4" s="166" t="s">
        <v>19</v>
      </c>
      <c r="B4" s="166" t="s">
        <v>144</v>
      </c>
      <c r="C4" s="166"/>
      <c r="D4" s="154" t="s">
        <v>15</v>
      </c>
      <c r="E4" s="156">
        <v>35</v>
      </c>
      <c r="F4" s="246">
        <v>100</v>
      </c>
      <c r="G4" s="246">
        <f>199.35+83.36</f>
        <v>282.70999999999998</v>
      </c>
      <c r="H4" s="246">
        <v>47.8</v>
      </c>
      <c r="I4" s="246">
        <v>0</v>
      </c>
      <c r="J4" s="246">
        <v>0</v>
      </c>
      <c r="K4" s="248">
        <v>0</v>
      </c>
      <c r="L4" s="180">
        <v>28</v>
      </c>
      <c r="M4" s="157">
        <v>160.47</v>
      </c>
      <c r="N4" s="157">
        <v>32.159999999999997</v>
      </c>
      <c r="O4" s="157">
        <v>0</v>
      </c>
      <c r="P4" s="157">
        <v>92.54</v>
      </c>
      <c r="Q4" s="157">
        <v>134.69999999999999</v>
      </c>
      <c r="R4" s="158">
        <v>102</v>
      </c>
      <c r="S4" s="158">
        <f>20+114</f>
        <v>134</v>
      </c>
      <c r="T4" s="158">
        <f>135+26</f>
        <v>161</v>
      </c>
    </row>
    <row r="5" spans="1:20" s="154" customFormat="1" x14ac:dyDescent="0.2">
      <c r="A5" s="262" t="s">
        <v>20</v>
      </c>
      <c r="B5" s="166" t="s">
        <v>144</v>
      </c>
      <c r="C5" s="166"/>
      <c r="D5" s="154" t="s">
        <v>15</v>
      </c>
      <c r="E5" s="156">
        <v>36</v>
      </c>
      <c r="F5" s="246">
        <v>220</v>
      </c>
      <c r="G5" s="246">
        <f>171+120</f>
        <v>291</v>
      </c>
      <c r="H5" s="246">
        <v>0</v>
      </c>
      <c r="I5" s="246">
        <v>130.34</v>
      </c>
      <c r="J5" s="246">
        <v>462.78</v>
      </c>
      <c r="K5" s="248">
        <v>140</v>
      </c>
      <c r="L5" s="180">
        <v>77.040000000000006</v>
      </c>
      <c r="M5" s="157">
        <f>+M32</f>
        <v>0</v>
      </c>
      <c r="N5" s="157">
        <v>75</v>
      </c>
      <c r="O5" s="157">
        <v>52</v>
      </c>
      <c r="P5" s="157">
        <v>0</v>
      </c>
      <c r="Q5" s="157">
        <v>36.9</v>
      </c>
      <c r="R5" s="158"/>
      <c r="S5" s="158"/>
      <c r="T5" s="158"/>
    </row>
    <row r="6" spans="1:20" s="154" customFormat="1" x14ac:dyDescent="0.2">
      <c r="A6" s="166" t="s">
        <v>21</v>
      </c>
      <c r="B6" s="166" t="s">
        <v>144</v>
      </c>
      <c r="C6" s="166"/>
      <c r="D6" s="154" t="s">
        <v>15</v>
      </c>
      <c r="E6" s="156">
        <v>37</v>
      </c>
      <c r="F6" s="246">
        <v>226</v>
      </c>
      <c r="G6" s="246">
        <v>226</v>
      </c>
      <c r="H6" s="246">
        <v>190</v>
      </c>
      <c r="I6" s="246">
        <v>176</v>
      </c>
      <c r="J6" s="246">
        <v>166</v>
      </c>
      <c r="K6" s="248">
        <v>160</v>
      </c>
      <c r="L6" s="180">
        <v>160</v>
      </c>
      <c r="M6" s="157">
        <f>154+M33</f>
        <v>154</v>
      </c>
      <c r="N6" s="157">
        <v>134</v>
      </c>
      <c r="O6" s="157">
        <v>124</v>
      </c>
      <c r="P6" s="157">
        <v>116</v>
      </c>
      <c r="Q6" s="157">
        <v>116</v>
      </c>
      <c r="R6" s="158">
        <v>114</v>
      </c>
      <c r="S6" s="158">
        <v>114</v>
      </c>
      <c r="T6" s="158">
        <v>108</v>
      </c>
    </row>
    <row r="7" spans="1:20" s="69" customFormat="1" x14ac:dyDescent="0.2">
      <c r="A7" s="69" t="s">
        <v>22</v>
      </c>
      <c r="B7" s="69" t="s">
        <v>144</v>
      </c>
      <c r="D7" s="69" t="s">
        <v>15</v>
      </c>
      <c r="E7" s="148">
        <v>38</v>
      </c>
      <c r="F7" s="247">
        <v>0</v>
      </c>
      <c r="G7" s="247">
        <v>0</v>
      </c>
      <c r="H7" s="247">
        <v>0</v>
      </c>
      <c r="I7" s="247">
        <v>0</v>
      </c>
      <c r="J7" s="247">
        <v>0</v>
      </c>
      <c r="K7" s="252">
        <v>0</v>
      </c>
      <c r="L7" s="177">
        <v>0</v>
      </c>
      <c r="M7" s="110">
        <f>+M34</f>
        <v>0</v>
      </c>
      <c r="N7" s="110">
        <v>0</v>
      </c>
      <c r="O7" s="110">
        <v>0</v>
      </c>
      <c r="P7" s="110">
        <v>0</v>
      </c>
      <c r="Q7" s="110"/>
      <c r="R7" s="111">
        <v>7</v>
      </c>
      <c r="S7" s="111">
        <v>65</v>
      </c>
      <c r="T7" s="111">
        <f>2+88</f>
        <v>90</v>
      </c>
    </row>
    <row r="8" spans="1:20" x14ac:dyDescent="0.2">
      <c r="A8" s="71" t="s">
        <v>23</v>
      </c>
      <c r="B8" s="71" t="s">
        <v>144</v>
      </c>
      <c r="C8" s="71"/>
      <c r="D8" s="69" t="s">
        <v>15</v>
      </c>
      <c r="E8" s="148">
        <v>39</v>
      </c>
      <c r="F8" s="247">
        <v>22</v>
      </c>
      <c r="G8" s="247">
        <v>22</v>
      </c>
      <c r="H8" s="247">
        <v>22</v>
      </c>
      <c r="I8" s="247">
        <v>22</v>
      </c>
      <c r="J8" s="247">
        <v>20</v>
      </c>
      <c r="K8" s="252">
        <v>125</v>
      </c>
      <c r="L8" s="177">
        <v>0</v>
      </c>
      <c r="M8" s="110">
        <f>22+M35</f>
        <v>22</v>
      </c>
      <c r="N8" s="110">
        <v>47</v>
      </c>
      <c r="O8" s="110">
        <v>22</v>
      </c>
      <c r="P8" s="110">
        <v>22</v>
      </c>
      <c r="Q8" s="110">
        <v>22</v>
      </c>
      <c r="R8" s="111">
        <v>20</v>
      </c>
      <c r="S8" s="111">
        <v>20</v>
      </c>
      <c r="T8" s="111">
        <v>20</v>
      </c>
    </row>
    <row r="9" spans="1:20" x14ac:dyDescent="0.2">
      <c r="A9" s="71" t="s">
        <v>24</v>
      </c>
      <c r="B9" s="71" t="s">
        <v>144</v>
      </c>
      <c r="C9" s="71"/>
      <c r="D9" s="69" t="s">
        <v>15</v>
      </c>
      <c r="E9" s="148">
        <v>40</v>
      </c>
      <c r="F9" s="247">
        <v>0</v>
      </c>
      <c r="G9" s="247">
        <v>0</v>
      </c>
      <c r="H9" s="247">
        <v>0</v>
      </c>
      <c r="I9" s="247">
        <v>0</v>
      </c>
      <c r="J9" s="247">
        <v>0</v>
      </c>
      <c r="K9" s="252">
        <v>0</v>
      </c>
      <c r="L9" s="177">
        <v>0</v>
      </c>
      <c r="M9" s="110">
        <f>159.5+M36</f>
        <v>159.5</v>
      </c>
      <c r="N9" s="110">
        <v>151.9</v>
      </c>
      <c r="O9" s="110">
        <v>152</v>
      </c>
      <c r="P9" s="110">
        <v>223.52</v>
      </c>
      <c r="Q9" s="110">
        <v>240.1</v>
      </c>
      <c r="R9" s="111"/>
      <c r="S9" s="111"/>
      <c r="T9" s="111">
        <v>198</v>
      </c>
    </row>
    <row r="10" spans="1:20" x14ac:dyDescent="0.2">
      <c r="A10" s="71" t="s">
        <v>25</v>
      </c>
      <c r="B10" s="71" t="s">
        <v>144</v>
      </c>
      <c r="C10" s="71"/>
      <c r="D10" s="69" t="s">
        <v>15</v>
      </c>
      <c r="E10" s="148">
        <v>41</v>
      </c>
      <c r="F10" s="247">
        <v>0</v>
      </c>
      <c r="G10" s="247">
        <v>0</v>
      </c>
      <c r="H10" s="247">
        <v>0</v>
      </c>
      <c r="I10" s="247">
        <v>0</v>
      </c>
      <c r="J10" s="247">
        <v>0</v>
      </c>
      <c r="K10" s="252">
        <v>0</v>
      </c>
      <c r="L10" s="177">
        <v>0</v>
      </c>
      <c r="M10" s="110">
        <f>548.8+M37</f>
        <v>548.79999999999995</v>
      </c>
      <c r="N10" s="110">
        <v>455</v>
      </c>
      <c r="O10" s="110">
        <v>497</v>
      </c>
      <c r="P10" s="110">
        <v>575.88</v>
      </c>
      <c r="Q10" s="110">
        <v>687.35</v>
      </c>
      <c r="R10" s="111">
        <v>642</v>
      </c>
      <c r="S10" s="111">
        <f>810+50</f>
        <v>860</v>
      </c>
      <c r="T10" s="111">
        <f>227+364+227</f>
        <v>818</v>
      </c>
    </row>
    <row r="11" spans="1:20" s="154" customFormat="1" x14ac:dyDescent="0.2">
      <c r="A11" s="166" t="s">
        <v>26</v>
      </c>
      <c r="B11" s="166" t="s">
        <v>144</v>
      </c>
      <c r="C11" s="166"/>
      <c r="D11" s="154" t="s">
        <v>15</v>
      </c>
      <c r="E11" s="156">
        <v>42</v>
      </c>
      <c r="F11" s="246">
        <v>700</v>
      </c>
      <c r="G11" s="246">
        <f>160.39+55.24+63+21.17+39.86+599.76</f>
        <v>939.42000000000007</v>
      </c>
      <c r="H11" s="246">
        <v>182.58</v>
      </c>
      <c r="I11" s="246">
        <v>662.76</v>
      </c>
      <c r="J11" s="246">
        <v>220</v>
      </c>
      <c r="K11" s="248">
        <v>290.39999999999998</v>
      </c>
      <c r="L11" s="180">
        <v>290.39999999999998</v>
      </c>
      <c r="M11" s="157">
        <f>227.4+M38</f>
        <v>227.4</v>
      </c>
      <c r="N11" s="157">
        <v>425.23</v>
      </c>
      <c r="O11" s="157">
        <v>193.83</v>
      </c>
      <c r="P11" s="157">
        <v>202.83</v>
      </c>
      <c r="Q11" s="157">
        <v>252.85</v>
      </c>
      <c r="R11" s="158">
        <v>25.9</v>
      </c>
      <c r="S11" s="158">
        <v>156</v>
      </c>
      <c r="T11" s="158">
        <f>12.95+96</f>
        <v>108.95</v>
      </c>
    </row>
    <row r="12" spans="1:20" x14ac:dyDescent="0.2">
      <c r="A12" s="71" t="s">
        <v>28</v>
      </c>
      <c r="B12" s="71" t="s">
        <v>144</v>
      </c>
      <c r="C12" s="71"/>
      <c r="D12" s="69" t="s">
        <v>15</v>
      </c>
      <c r="E12" s="148">
        <v>44</v>
      </c>
      <c r="F12" s="247">
        <v>0</v>
      </c>
      <c r="G12" s="247">
        <v>0</v>
      </c>
      <c r="H12" s="247">
        <v>0</v>
      </c>
      <c r="I12" s="247">
        <v>0</v>
      </c>
      <c r="J12" s="247">
        <v>0</v>
      </c>
      <c r="K12" s="252">
        <v>0</v>
      </c>
      <c r="L12" s="177">
        <v>0</v>
      </c>
      <c r="M12" s="110">
        <f>+M39</f>
        <v>0</v>
      </c>
      <c r="N12" s="110">
        <v>0</v>
      </c>
      <c r="O12" s="110">
        <v>0</v>
      </c>
      <c r="P12" s="110">
        <v>0</v>
      </c>
      <c r="Q12" s="110">
        <v>38.07</v>
      </c>
      <c r="R12" s="111"/>
      <c r="S12" s="111"/>
      <c r="T12" s="111"/>
    </row>
    <row r="13" spans="1:20" x14ac:dyDescent="0.2">
      <c r="A13" s="71" t="s">
        <v>263</v>
      </c>
      <c r="B13" s="71" t="s">
        <v>144</v>
      </c>
      <c r="C13" s="71"/>
      <c r="D13" s="69" t="s">
        <v>15</v>
      </c>
      <c r="E13" s="148">
        <v>45</v>
      </c>
      <c r="F13" s="247">
        <v>0</v>
      </c>
      <c r="G13" s="247">
        <v>100</v>
      </c>
      <c r="H13" s="247">
        <v>0</v>
      </c>
      <c r="I13" s="247">
        <v>230</v>
      </c>
      <c r="J13" s="247">
        <v>0</v>
      </c>
      <c r="K13" s="252">
        <v>0</v>
      </c>
      <c r="L13" s="177">
        <v>0</v>
      </c>
      <c r="M13" s="110">
        <v>0.19</v>
      </c>
      <c r="N13" s="110">
        <v>0</v>
      </c>
      <c r="O13" s="110">
        <v>1.95</v>
      </c>
      <c r="P13" s="110">
        <v>1.95</v>
      </c>
      <c r="Q13" s="110">
        <f>0.35+1.95</f>
        <v>2.2999999999999998</v>
      </c>
      <c r="R13" s="111"/>
      <c r="S13" s="111"/>
      <c r="T13" s="111">
        <v>80.319999999999993</v>
      </c>
    </row>
    <row r="14" spans="1:20" s="154" customFormat="1" x14ac:dyDescent="0.2">
      <c r="A14" s="166" t="s">
        <v>30</v>
      </c>
      <c r="B14" s="166" t="s">
        <v>144</v>
      </c>
      <c r="C14" s="166"/>
      <c r="D14" s="154" t="s">
        <v>15</v>
      </c>
      <c r="E14" s="156">
        <v>46</v>
      </c>
      <c r="F14" s="246">
        <v>380</v>
      </c>
      <c r="G14" s="246">
        <v>212.15</v>
      </c>
      <c r="H14" s="246">
        <v>136.34</v>
      </c>
      <c r="I14" s="246">
        <v>379.44</v>
      </c>
      <c r="J14" s="246">
        <v>365.45</v>
      </c>
      <c r="K14" s="248">
        <v>412.53</v>
      </c>
      <c r="L14" s="180">
        <v>428.36</v>
      </c>
      <c r="M14" s="157">
        <v>417.4</v>
      </c>
      <c r="N14" s="157">
        <v>432.83</v>
      </c>
      <c r="O14" s="157">
        <v>305</v>
      </c>
      <c r="P14" s="157">
        <v>265.27999999999997</v>
      </c>
      <c r="Q14" s="157">
        <v>211.3</v>
      </c>
      <c r="R14" s="158"/>
      <c r="S14" s="158"/>
      <c r="T14" s="158"/>
    </row>
    <row r="15" spans="1:20" s="154" customFormat="1" x14ac:dyDescent="0.2">
      <c r="A15" s="166" t="s">
        <v>36</v>
      </c>
      <c r="B15" s="166" t="s">
        <v>144</v>
      </c>
      <c r="C15" s="166"/>
      <c r="D15" s="154" t="s">
        <v>15</v>
      </c>
      <c r="E15" s="156">
        <v>51</v>
      </c>
      <c r="F15" s="246">
        <v>125</v>
      </c>
      <c r="G15" s="246">
        <v>125</v>
      </c>
      <c r="H15" s="246">
        <v>125</v>
      </c>
      <c r="I15" s="246">
        <v>125</v>
      </c>
      <c r="J15" s="246">
        <v>125</v>
      </c>
      <c r="K15" s="248">
        <v>125</v>
      </c>
      <c r="L15" s="180">
        <v>100</v>
      </c>
      <c r="M15" s="157">
        <f>100+M42</f>
        <v>100</v>
      </c>
      <c r="N15" s="157">
        <v>100</v>
      </c>
      <c r="O15" s="157">
        <v>100</v>
      </c>
      <c r="P15" s="157">
        <v>100</v>
      </c>
      <c r="Q15" s="157">
        <v>100</v>
      </c>
      <c r="R15" s="158">
        <v>100</v>
      </c>
      <c r="S15" s="158">
        <v>200</v>
      </c>
      <c r="T15" s="158">
        <v>200</v>
      </c>
    </row>
    <row r="16" spans="1:20" s="154" customFormat="1" x14ac:dyDescent="0.2">
      <c r="A16" s="166" t="s">
        <v>37</v>
      </c>
      <c r="B16" s="166" t="s">
        <v>144</v>
      </c>
      <c r="C16" s="166"/>
      <c r="D16" s="154" t="s">
        <v>15</v>
      </c>
      <c r="E16" s="156">
        <v>52</v>
      </c>
      <c r="F16" s="248">
        <v>225</v>
      </c>
      <c r="G16" s="248">
        <v>225</v>
      </c>
      <c r="H16" s="248">
        <v>225</v>
      </c>
      <c r="I16" s="248">
        <v>200</v>
      </c>
      <c r="J16" s="248">
        <v>190</v>
      </c>
      <c r="K16" s="248">
        <v>190</v>
      </c>
      <c r="L16" s="180">
        <v>200</v>
      </c>
      <c r="M16" s="157">
        <f>175+M43</f>
        <v>175</v>
      </c>
      <c r="N16" s="157">
        <v>175</v>
      </c>
      <c r="O16" s="157">
        <v>0</v>
      </c>
      <c r="P16" s="157">
        <v>175</v>
      </c>
      <c r="Q16" s="157">
        <v>300</v>
      </c>
      <c r="R16" s="158">
        <v>150</v>
      </c>
      <c r="S16" s="158">
        <v>125</v>
      </c>
      <c r="T16" s="158">
        <v>250</v>
      </c>
    </row>
    <row r="17" spans="1:22" x14ac:dyDescent="0.2">
      <c r="A17" s="226" t="s">
        <v>249</v>
      </c>
      <c r="B17" s="226" t="s">
        <v>144</v>
      </c>
      <c r="C17" s="226"/>
      <c r="D17" s="198" t="s">
        <v>15</v>
      </c>
      <c r="E17" s="212">
        <v>60</v>
      </c>
      <c r="F17" s="248">
        <v>700</v>
      </c>
      <c r="G17" s="248">
        <v>0</v>
      </c>
      <c r="H17" s="248">
        <v>0</v>
      </c>
      <c r="I17" s="248">
        <v>0</v>
      </c>
      <c r="J17" s="248">
        <v>0</v>
      </c>
      <c r="K17" s="248">
        <v>2479</v>
      </c>
      <c r="L17" s="227">
        <v>826</v>
      </c>
      <c r="M17" s="110">
        <f>1059+M44</f>
        <v>1059</v>
      </c>
      <c r="N17" s="110">
        <v>1009</v>
      </c>
      <c r="O17" s="110">
        <v>908</v>
      </c>
      <c r="P17" s="110">
        <v>844</v>
      </c>
      <c r="Q17" s="110">
        <v>605</v>
      </c>
      <c r="R17" s="111">
        <v>2114</v>
      </c>
      <c r="S17" s="111">
        <v>570</v>
      </c>
      <c r="T17" s="111"/>
    </row>
    <row r="18" spans="1:22" s="154" customFormat="1" ht="13.5" thickBot="1" x14ac:dyDescent="0.25">
      <c r="A18" s="166" t="s">
        <v>237</v>
      </c>
      <c r="B18" s="166" t="s">
        <v>144</v>
      </c>
      <c r="C18" s="166"/>
      <c r="D18" s="154" t="s">
        <v>15</v>
      </c>
      <c r="E18" s="156">
        <v>62</v>
      </c>
      <c r="F18" s="246">
        <v>0</v>
      </c>
      <c r="G18" s="246">
        <v>0</v>
      </c>
      <c r="H18" s="246">
        <v>0</v>
      </c>
      <c r="I18" s="246">
        <v>0</v>
      </c>
      <c r="J18" s="246">
        <v>0</v>
      </c>
      <c r="K18" s="248">
        <v>0</v>
      </c>
      <c r="L18" s="180">
        <v>43.54</v>
      </c>
      <c r="M18" s="157">
        <f>+M45</f>
        <v>0</v>
      </c>
      <c r="N18" s="157">
        <v>104.91</v>
      </c>
      <c r="O18" s="157">
        <v>0</v>
      </c>
      <c r="P18" s="157">
        <v>57.5</v>
      </c>
      <c r="Q18" s="157"/>
      <c r="R18" s="158"/>
      <c r="S18" s="158"/>
      <c r="T18" s="158"/>
    </row>
    <row r="19" spans="1:22" s="183" customFormat="1" ht="13.5" thickTop="1" x14ac:dyDescent="0.2">
      <c r="A19" s="191" t="s">
        <v>78</v>
      </c>
      <c r="B19" s="191" t="s">
        <v>144</v>
      </c>
      <c r="C19" s="191" t="s">
        <v>79</v>
      </c>
      <c r="D19" s="186" t="s">
        <v>76</v>
      </c>
      <c r="E19" s="192">
        <v>7</v>
      </c>
      <c r="F19" s="249"/>
      <c r="G19" s="249"/>
      <c r="H19" s="249"/>
      <c r="I19" s="249"/>
      <c r="J19" s="249"/>
      <c r="K19" s="253"/>
      <c r="L19" s="242"/>
      <c r="M19" s="193">
        <f>0.02+M46</f>
        <v>0.02</v>
      </c>
      <c r="N19" s="193">
        <v>5</v>
      </c>
      <c r="O19" s="193">
        <v>1000.01</v>
      </c>
      <c r="P19" s="193">
        <v>1996.01</v>
      </c>
      <c r="Q19" s="193">
        <v>166.44</v>
      </c>
      <c r="R19" s="194"/>
      <c r="S19" s="194"/>
      <c r="T19" s="194"/>
    </row>
    <row r="20" spans="1:22" s="165" customFormat="1" x14ac:dyDescent="0.2">
      <c r="A20" s="178" t="s">
        <v>80</v>
      </c>
      <c r="B20" s="178" t="s">
        <v>144</v>
      </c>
      <c r="C20" s="178"/>
      <c r="D20" s="165" t="s">
        <v>76</v>
      </c>
      <c r="E20" s="179">
        <v>8</v>
      </c>
      <c r="F20" s="248">
        <v>100</v>
      </c>
      <c r="G20" s="248">
        <v>245</v>
      </c>
      <c r="H20" s="248">
        <v>100</v>
      </c>
      <c r="I20" s="248">
        <v>95</v>
      </c>
      <c r="J20" s="248">
        <v>0</v>
      </c>
      <c r="K20" s="248">
        <v>145</v>
      </c>
      <c r="L20" s="180">
        <v>102.07</v>
      </c>
      <c r="M20" s="180">
        <f>75.01+M47</f>
        <v>75.010000000000005</v>
      </c>
      <c r="N20" s="180">
        <v>95.02</v>
      </c>
      <c r="O20" s="180">
        <v>209.98</v>
      </c>
      <c r="P20" s="180">
        <v>160</v>
      </c>
      <c r="Q20" s="180">
        <f>55.2+0.44</f>
        <v>55.64</v>
      </c>
      <c r="R20" s="181"/>
      <c r="S20" s="181"/>
      <c r="T20" s="181"/>
    </row>
    <row r="21" spans="1:22" s="154" customFormat="1" x14ac:dyDescent="0.2">
      <c r="A21" s="154" t="s">
        <v>146</v>
      </c>
      <c r="B21" s="154" t="s">
        <v>144</v>
      </c>
      <c r="C21" s="154" t="s">
        <v>88</v>
      </c>
      <c r="D21" s="154" t="s">
        <v>76</v>
      </c>
      <c r="E21" s="156">
        <v>15</v>
      </c>
      <c r="F21" s="246">
        <v>6</v>
      </c>
      <c r="G21" s="246">
        <v>9.59</v>
      </c>
      <c r="H21" s="246">
        <v>34.909999999999997</v>
      </c>
      <c r="I21" s="246">
        <v>33.950000000000003</v>
      </c>
      <c r="J21" s="246">
        <v>33.229999999999997</v>
      </c>
      <c r="K21" s="248">
        <v>50.52</v>
      </c>
      <c r="L21" s="180">
        <v>60.25</v>
      </c>
      <c r="M21" s="157">
        <v>35.409999999999997</v>
      </c>
      <c r="N21" s="157">
        <v>32.270000000000003</v>
      </c>
      <c r="O21" s="157">
        <v>31</v>
      </c>
      <c r="P21" s="157">
        <v>38.51</v>
      </c>
      <c r="Q21" s="157">
        <v>8.41</v>
      </c>
      <c r="R21" s="158"/>
      <c r="S21" s="158"/>
      <c r="T21" s="158">
        <v>6.31</v>
      </c>
      <c r="U21" s="256"/>
      <c r="V21" s="256"/>
    </row>
    <row r="22" spans="1:22" s="154" customFormat="1" x14ac:dyDescent="0.2">
      <c r="A22" s="154" t="s">
        <v>90</v>
      </c>
      <c r="B22" s="154" t="s">
        <v>144</v>
      </c>
      <c r="C22" s="154" t="s">
        <v>147</v>
      </c>
      <c r="D22" s="154" t="s">
        <v>76</v>
      </c>
      <c r="E22" s="156">
        <v>17</v>
      </c>
      <c r="F22" s="248">
        <f>142*45</f>
        <v>6390</v>
      </c>
      <c r="G22" s="248">
        <v>805</v>
      </c>
      <c r="H22" s="248">
        <v>4265</v>
      </c>
      <c r="I22" s="248">
        <v>5240</v>
      </c>
      <c r="J22" s="248">
        <v>5355</v>
      </c>
      <c r="K22" s="248">
        <v>6745</v>
      </c>
      <c r="L22" s="180">
        <v>5928.93</v>
      </c>
      <c r="M22" s="157">
        <v>7060</v>
      </c>
      <c r="N22" s="157">
        <v>7125</v>
      </c>
      <c r="O22" s="157">
        <v>4900</v>
      </c>
      <c r="P22" s="157">
        <v>4048</v>
      </c>
      <c r="Q22" s="157">
        <v>3710</v>
      </c>
      <c r="R22" s="158">
        <f>3361+175</f>
        <v>3536</v>
      </c>
      <c r="S22" s="158">
        <f>3280+445</f>
        <v>3725</v>
      </c>
      <c r="T22" s="158">
        <f>3440+35</f>
        <v>3475</v>
      </c>
      <c r="U22" s="257">
        <f>H22/35</f>
        <v>121.85714285714286</v>
      </c>
      <c r="V22" s="258">
        <f>50*153</f>
        <v>7650</v>
      </c>
    </row>
    <row r="23" spans="1:22" s="165" customFormat="1" x14ac:dyDescent="0.2">
      <c r="A23" s="165" t="s">
        <v>91</v>
      </c>
      <c r="B23" s="165" t="s">
        <v>144</v>
      </c>
      <c r="C23" s="165" t="s">
        <v>92</v>
      </c>
      <c r="D23" s="165" t="s">
        <v>76</v>
      </c>
      <c r="E23" s="179">
        <v>18</v>
      </c>
      <c r="F23" s="248">
        <f>41*35</f>
        <v>1435</v>
      </c>
      <c r="G23" s="248">
        <v>225</v>
      </c>
      <c r="H23" s="248">
        <v>1268.6600000000001</v>
      </c>
      <c r="I23" s="248">
        <v>1150</v>
      </c>
      <c r="J23" s="248">
        <v>1350</v>
      </c>
      <c r="K23" s="248">
        <v>1375</v>
      </c>
      <c r="L23" s="180">
        <v>1250</v>
      </c>
      <c r="M23" s="180">
        <v>2240</v>
      </c>
      <c r="N23" s="180">
        <v>2240</v>
      </c>
      <c r="O23" s="180">
        <v>1360</v>
      </c>
      <c r="P23" s="180">
        <v>1840</v>
      </c>
      <c r="Q23" s="180">
        <v>1775</v>
      </c>
      <c r="R23" s="181">
        <f>1700+275</f>
        <v>1975</v>
      </c>
      <c r="S23" s="181">
        <f>1625+275</f>
        <v>1900</v>
      </c>
      <c r="T23" s="181">
        <f>2890+175</f>
        <v>3065</v>
      </c>
      <c r="U23" s="261">
        <f>H23/25</f>
        <v>50.746400000000001</v>
      </c>
      <c r="V23" s="260">
        <f>54*35</f>
        <v>1890</v>
      </c>
    </row>
    <row r="24" spans="1:22" s="154" customFormat="1" x14ac:dyDescent="0.2">
      <c r="A24" s="154" t="s">
        <v>264</v>
      </c>
      <c r="B24" s="154" t="s">
        <v>144</v>
      </c>
      <c r="C24" s="154" t="s">
        <v>94</v>
      </c>
      <c r="D24" s="154" t="s">
        <v>76</v>
      </c>
      <c r="E24" s="156">
        <v>19</v>
      </c>
      <c r="F24" s="246">
        <v>350</v>
      </c>
      <c r="G24" s="246">
        <v>100</v>
      </c>
      <c r="H24" s="246">
        <v>101</v>
      </c>
      <c r="I24" s="246"/>
      <c r="J24" s="246"/>
      <c r="K24" s="246"/>
      <c r="L24" s="157">
        <v>0</v>
      </c>
      <c r="M24" s="157">
        <v>35.19</v>
      </c>
      <c r="N24" s="157">
        <v>203.5</v>
      </c>
      <c r="O24" s="157">
        <v>0</v>
      </c>
      <c r="P24" s="157"/>
      <c r="Q24" s="157"/>
      <c r="R24" s="158"/>
      <c r="S24" s="158"/>
      <c r="T24" s="158"/>
      <c r="U24" s="257">
        <f>SUM(U22:U23)</f>
        <v>172.60354285714286</v>
      </c>
      <c r="V24" s="258">
        <f>V22+V23</f>
        <v>9540</v>
      </c>
    </row>
    <row r="25" spans="1:22" x14ac:dyDescent="0.2">
      <c r="A25" s="13" t="s">
        <v>149</v>
      </c>
      <c r="F25" s="250">
        <f t="shared" ref="F25:K25" si="0">+F26+F27</f>
        <v>5583</v>
      </c>
      <c r="G25" s="250">
        <f t="shared" si="0"/>
        <v>-1184.6900000000003</v>
      </c>
      <c r="H25" s="250">
        <f t="shared" si="0"/>
        <v>4810.29</v>
      </c>
      <c r="I25" s="250">
        <f t="shared" si="0"/>
        <v>4593.41</v>
      </c>
      <c r="J25" s="250">
        <f t="shared" si="0"/>
        <v>5079</v>
      </c>
      <c r="K25" s="250">
        <f t="shared" si="0"/>
        <v>4335.630000000001</v>
      </c>
      <c r="L25" s="29">
        <f t="shared" ref="L25:T25" si="1">+L26+L27</f>
        <v>4321.8600000000006</v>
      </c>
      <c r="M25" s="29">
        <f>+M26+M27</f>
        <v>5809.8599999999988</v>
      </c>
      <c r="N25" s="29">
        <f t="shared" si="1"/>
        <v>5353.630000000001</v>
      </c>
      <c r="O25" s="29">
        <f t="shared" si="1"/>
        <v>5145.21</v>
      </c>
      <c r="P25" s="29">
        <f t="shared" si="1"/>
        <v>5406.02</v>
      </c>
      <c r="Q25" s="29">
        <f t="shared" si="1"/>
        <v>2968.92</v>
      </c>
      <c r="R25" s="29">
        <f t="shared" si="1"/>
        <v>1951.1</v>
      </c>
      <c r="S25" s="29">
        <f t="shared" si="1"/>
        <v>3177</v>
      </c>
      <c r="T25" s="29">
        <f t="shared" si="1"/>
        <v>4014.0399999999995</v>
      </c>
      <c r="U25" t="s">
        <v>257</v>
      </c>
      <c r="V25" s="259">
        <f>I22-I23</f>
        <v>4090</v>
      </c>
    </row>
    <row r="26" spans="1:22" x14ac:dyDescent="0.2">
      <c r="A26" s="112" t="s">
        <v>75</v>
      </c>
      <c r="C26" s="71"/>
      <c r="F26" s="250">
        <f t="shared" ref="F26:K26" si="2">SUM(F19:F24)</f>
        <v>8281</v>
      </c>
      <c r="G26" s="250">
        <f t="shared" si="2"/>
        <v>1384.59</v>
      </c>
      <c r="H26" s="250">
        <f t="shared" si="2"/>
        <v>5769.57</v>
      </c>
      <c r="I26" s="250">
        <f t="shared" si="2"/>
        <v>6518.95</v>
      </c>
      <c r="J26" s="250">
        <f t="shared" si="2"/>
        <v>6738.23</v>
      </c>
      <c r="K26" s="250">
        <f t="shared" si="2"/>
        <v>8315.52</v>
      </c>
      <c r="L26" s="29">
        <f t="shared" ref="L26:T26" si="3">SUM(L19:L24)</f>
        <v>7341.25</v>
      </c>
      <c r="M26" s="29">
        <f>SUM(M19:M24)</f>
        <v>9445.6299999999992</v>
      </c>
      <c r="N26" s="29">
        <f t="shared" si="3"/>
        <v>9700.7900000000009</v>
      </c>
      <c r="O26" s="29">
        <f t="shared" si="3"/>
        <v>7500.99</v>
      </c>
      <c r="P26" s="29">
        <f t="shared" si="3"/>
        <v>8082.52</v>
      </c>
      <c r="Q26" s="29">
        <f t="shared" si="3"/>
        <v>5715.49</v>
      </c>
      <c r="R26" s="29">
        <f t="shared" si="3"/>
        <v>5511</v>
      </c>
      <c r="S26" s="29">
        <f t="shared" si="3"/>
        <v>5625</v>
      </c>
      <c r="T26" s="29">
        <f t="shared" si="3"/>
        <v>6546.3099999999995</v>
      </c>
    </row>
    <row r="27" spans="1:22" x14ac:dyDescent="0.2">
      <c r="A27" s="13" t="s">
        <v>14</v>
      </c>
      <c r="F27" s="250">
        <f t="shared" ref="F27:K27" si="4">-SUM(F3:F18)</f>
        <v>-2698</v>
      </c>
      <c r="G27" s="250">
        <f t="shared" si="4"/>
        <v>-2569.2800000000002</v>
      </c>
      <c r="H27" s="250">
        <f t="shared" si="4"/>
        <v>-959.28000000000009</v>
      </c>
      <c r="I27" s="250">
        <f t="shared" si="4"/>
        <v>-1925.54</v>
      </c>
      <c r="J27" s="250">
        <f t="shared" si="4"/>
        <v>-1659.23</v>
      </c>
      <c r="K27" s="250">
        <f t="shared" si="4"/>
        <v>-3979.89</v>
      </c>
      <c r="L27" s="29">
        <f t="shared" ref="L27:T27" si="5">-SUM(L3:L18)</f>
        <v>-3019.39</v>
      </c>
      <c r="M27" s="29">
        <f>-SUM(M3:M18)</f>
        <v>-3635.77</v>
      </c>
      <c r="N27" s="29">
        <f t="shared" si="5"/>
        <v>-4347.16</v>
      </c>
      <c r="O27" s="29">
        <f t="shared" si="5"/>
        <v>-2355.7799999999997</v>
      </c>
      <c r="P27" s="29">
        <f t="shared" si="5"/>
        <v>-2676.5</v>
      </c>
      <c r="Q27" s="29">
        <f t="shared" si="5"/>
        <v>-2746.5699999999997</v>
      </c>
      <c r="R27" s="29">
        <f t="shared" si="5"/>
        <v>-3559.9</v>
      </c>
      <c r="S27" s="29">
        <f t="shared" si="5"/>
        <v>-2448</v>
      </c>
      <c r="T27" s="29">
        <f t="shared" si="5"/>
        <v>-2532.27</v>
      </c>
    </row>
    <row r="29" spans="1:22" x14ac:dyDescent="0.2">
      <c r="A29" s="141" t="s">
        <v>209</v>
      </c>
      <c r="C29" s="142"/>
    </row>
    <row r="30" spans="1:22" x14ac:dyDescent="0.2">
      <c r="A30" s="109" t="s">
        <v>16</v>
      </c>
      <c r="B30" s="71" t="s">
        <v>144</v>
      </c>
      <c r="C30" s="71" t="s">
        <v>17</v>
      </c>
      <c r="D30" s="69" t="s">
        <v>15</v>
      </c>
      <c r="E30" s="148">
        <v>34</v>
      </c>
      <c r="F30" s="110"/>
      <c r="G30" s="110"/>
      <c r="H30" s="110"/>
      <c r="I30" s="110"/>
      <c r="J30" s="110"/>
      <c r="K30" s="110"/>
      <c r="L30" s="110"/>
      <c r="M30" s="110">
        <v>0</v>
      </c>
    </row>
    <row r="31" spans="1:22" x14ac:dyDescent="0.2">
      <c r="A31" s="71" t="s">
        <v>19</v>
      </c>
      <c r="B31" s="71" t="s">
        <v>144</v>
      </c>
      <c r="C31" s="71"/>
      <c r="D31" s="69" t="s">
        <v>15</v>
      </c>
      <c r="E31" s="148">
        <v>35</v>
      </c>
      <c r="F31" s="110"/>
      <c r="G31" s="110"/>
      <c r="H31" s="110"/>
      <c r="I31" s="110"/>
      <c r="J31" s="110"/>
      <c r="K31" s="110"/>
      <c r="L31" s="110"/>
      <c r="M31" s="110">
        <v>0</v>
      </c>
    </row>
    <row r="32" spans="1:22" x14ac:dyDescent="0.2">
      <c r="A32" s="71" t="s">
        <v>20</v>
      </c>
      <c r="B32" s="71" t="s">
        <v>144</v>
      </c>
      <c r="C32" s="71"/>
      <c r="D32" s="69" t="s">
        <v>15</v>
      </c>
      <c r="E32" s="148">
        <v>36</v>
      </c>
      <c r="F32" s="110"/>
      <c r="G32" s="110"/>
      <c r="H32" s="110"/>
      <c r="I32" s="110"/>
      <c r="J32" s="110"/>
      <c r="K32" s="110"/>
      <c r="L32" s="110"/>
      <c r="M32" s="110">
        <v>0</v>
      </c>
    </row>
    <row r="33" spans="1:13" x14ac:dyDescent="0.2">
      <c r="A33" s="71" t="s">
        <v>21</v>
      </c>
      <c r="B33" s="71" t="s">
        <v>144</v>
      </c>
      <c r="C33" s="71"/>
      <c r="D33" s="69" t="s">
        <v>15</v>
      </c>
      <c r="E33" s="148">
        <v>37</v>
      </c>
      <c r="F33" s="110"/>
      <c r="G33" s="110"/>
      <c r="H33" s="110"/>
      <c r="I33" s="110"/>
      <c r="J33" s="110"/>
      <c r="K33" s="110"/>
      <c r="L33" s="110"/>
      <c r="M33" s="110">
        <v>0</v>
      </c>
    </row>
    <row r="34" spans="1:13" x14ac:dyDescent="0.2">
      <c r="A34" s="71" t="s">
        <v>22</v>
      </c>
      <c r="B34" s="71" t="s">
        <v>144</v>
      </c>
      <c r="C34" s="71"/>
      <c r="D34" s="69" t="s">
        <v>15</v>
      </c>
      <c r="E34" s="148">
        <v>38</v>
      </c>
      <c r="F34" s="110"/>
      <c r="G34" s="110"/>
      <c r="H34" s="110"/>
      <c r="I34" s="110"/>
      <c r="J34" s="110"/>
      <c r="K34" s="110"/>
      <c r="L34" s="110"/>
      <c r="M34" s="110">
        <v>0</v>
      </c>
    </row>
    <row r="35" spans="1:13" x14ac:dyDescent="0.2">
      <c r="A35" s="71" t="s">
        <v>23</v>
      </c>
      <c r="B35" s="71" t="s">
        <v>144</v>
      </c>
      <c r="C35" s="71"/>
      <c r="D35" s="69" t="s">
        <v>15</v>
      </c>
      <c r="E35" s="148">
        <v>39</v>
      </c>
      <c r="F35" s="110"/>
      <c r="G35" s="110"/>
      <c r="H35" s="110"/>
      <c r="I35" s="110"/>
      <c r="J35" s="110"/>
      <c r="K35" s="110"/>
      <c r="L35" s="110"/>
      <c r="M35" s="110">
        <v>0</v>
      </c>
    </row>
    <row r="36" spans="1:13" x14ac:dyDescent="0.2">
      <c r="A36" s="71" t="s">
        <v>24</v>
      </c>
      <c r="B36" s="71" t="s">
        <v>144</v>
      </c>
      <c r="C36" s="71"/>
      <c r="D36" s="69" t="s">
        <v>15</v>
      </c>
      <c r="E36" s="148">
        <v>40</v>
      </c>
      <c r="F36" s="110"/>
      <c r="G36" s="110"/>
      <c r="H36" s="110"/>
      <c r="I36" s="110"/>
      <c r="J36" s="110"/>
      <c r="K36" s="110"/>
      <c r="L36" s="110"/>
      <c r="M36" s="110">
        <v>0</v>
      </c>
    </row>
    <row r="37" spans="1:13" x14ac:dyDescent="0.2">
      <c r="A37" s="71" t="s">
        <v>25</v>
      </c>
      <c r="B37" s="71" t="s">
        <v>144</v>
      </c>
      <c r="C37" s="71"/>
      <c r="D37" s="69" t="s">
        <v>15</v>
      </c>
      <c r="E37" s="148">
        <v>41</v>
      </c>
      <c r="F37" s="110"/>
      <c r="G37" s="110"/>
      <c r="H37" s="110"/>
      <c r="I37" s="110"/>
      <c r="J37" s="110"/>
      <c r="K37" s="110"/>
      <c r="L37" s="110"/>
      <c r="M37" s="110">
        <v>0</v>
      </c>
    </row>
    <row r="38" spans="1:13" x14ac:dyDescent="0.2">
      <c r="A38" s="71" t="s">
        <v>26</v>
      </c>
      <c r="B38" s="71" t="s">
        <v>144</v>
      </c>
      <c r="C38" s="71"/>
      <c r="D38" s="69" t="s">
        <v>15</v>
      </c>
      <c r="E38" s="148">
        <v>42</v>
      </c>
      <c r="F38" s="110"/>
      <c r="G38" s="110"/>
      <c r="H38" s="110"/>
      <c r="I38" s="110"/>
      <c r="J38" s="110"/>
      <c r="K38" s="110"/>
      <c r="L38" s="110"/>
      <c r="M38" s="110">
        <v>0</v>
      </c>
    </row>
    <row r="39" spans="1:13" x14ac:dyDescent="0.2">
      <c r="A39" s="71" t="s">
        <v>28</v>
      </c>
      <c r="B39" s="71" t="s">
        <v>144</v>
      </c>
      <c r="C39" s="71"/>
      <c r="D39" s="69" t="s">
        <v>15</v>
      </c>
      <c r="E39" s="148">
        <v>44</v>
      </c>
      <c r="F39" s="110"/>
      <c r="G39" s="110"/>
      <c r="H39" s="110"/>
      <c r="I39" s="110"/>
      <c r="J39" s="110"/>
      <c r="K39" s="110"/>
      <c r="L39" s="110"/>
      <c r="M39" s="110">
        <v>0</v>
      </c>
    </row>
    <row r="40" spans="1:13" x14ac:dyDescent="0.2">
      <c r="A40" s="71" t="s">
        <v>29</v>
      </c>
      <c r="B40" s="71" t="s">
        <v>144</v>
      </c>
      <c r="C40" s="71"/>
      <c r="D40" s="69" t="s">
        <v>15</v>
      </c>
      <c r="E40" s="148">
        <v>45</v>
      </c>
      <c r="F40" s="110"/>
      <c r="G40" s="110"/>
      <c r="H40" s="110"/>
      <c r="I40" s="110"/>
      <c r="J40" s="110"/>
      <c r="K40" s="110"/>
      <c r="L40" s="110"/>
      <c r="M40" s="110">
        <v>0</v>
      </c>
    </row>
    <row r="41" spans="1:13" x14ac:dyDescent="0.2">
      <c r="A41" s="71" t="s">
        <v>30</v>
      </c>
      <c r="B41" s="71" t="s">
        <v>144</v>
      </c>
      <c r="C41" s="71"/>
      <c r="D41" s="69" t="s">
        <v>15</v>
      </c>
      <c r="E41" s="148">
        <v>46</v>
      </c>
      <c r="F41" s="110"/>
      <c r="G41" s="110"/>
      <c r="H41" s="110"/>
      <c r="I41" s="110"/>
      <c r="J41" s="110"/>
      <c r="K41" s="110"/>
      <c r="L41" s="110"/>
      <c r="M41" s="110">
        <v>0</v>
      </c>
    </row>
    <row r="42" spans="1:13" x14ac:dyDescent="0.2">
      <c r="A42" s="71" t="s">
        <v>36</v>
      </c>
      <c r="B42" s="71" t="s">
        <v>144</v>
      </c>
      <c r="C42" s="71"/>
      <c r="D42" s="69" t="s">
        <v>15</v>
      </c>
      <c r="E42" s="148">
        <v>51</v>
      </c>
      <c r="F42" s="110"/>
      <c r="G42" s="110"/>
      <c r="H42" s="110"/>
      <c r="I42" s="110"/>
      <c r="J42" s="110"/>
      <c r="K42" s="110"/>
      <c r="L42" s="110"/>
      <c r="M42" s="110">
        <v>0</v>
      </c>
    </row>
    <row r="43" spans="1:13" x14ac:dyDescent="0.2">
      <c r="A43" s="71" t="s">
        <v>37</v>
      </c>
      <c r="B43" s="71" t="s">
        <v>144</v>
      </c>
      <c r="C43" s="71"/>
      <c r="D43" s="69" t="s">
        <v>15</v>
      </c>
      <c r="E43" s="148">
        <v>52</v>
      </c>
      <c r="F43" s="110"/>
      <c r="G43" s="110"/>
      <c r="H43" s="110"/>
      <c r="I43" s="110"/>
      <c r="J43" s="110"/>
      <c r="K43" s="110"/>
      <c r="L43" s="110"/>
      <c r="M43" s="110">
        <v>0</v>
      </c>
    </row>
    <row r="44" spans="1:13" x14ac:dyDescent="0.2">
      <c r="A44" s="71" t="s">
        <v>47</v>
      </c>
      <c r="B44" s="71" t="s">
        <v>144</v>
      </c>
      <c r="C44" s="71"/>
      <c r="D44" s="69" t="s">
        <v>15</v>
      </c>
      <c r="E44" s="148">
        <v>60</v>
      </c>
      <c r="F44" s="110"/>
      <c r="G44" s="110"/>
      <c r="H44" s="110"/>
      <c r="I44" s="110"/>
      <c r="J44" s="110"/>
      <c r="K44" s="110"/>
      <c r="L44" s="110"/>
      <c r="M44" s="110">
        <v>0</v>
      </c>
    </row>
    <row r="45" spans="1:13" x14ac:dyDescent="0.2">
      <c r="A45" s="71" t="s">
        <v>145</v>
      </c>
      <c r="B45" s="71" t="s">
        <v>144</v>
      </c>
      <c r="C45" s="71"/>
      <c r="D45" s="69" t="s">
        <v>15</v>
      </c>
      <c r="E45" s="148">
        <v>62</v>
      </c>
      <c r="F45" s="110"/>
      <c r="G45" s="110"/>
      <c r="H45" s="110"/>
      <c r="I45" s="110"/>
      <c r="J45" s="110"/>
      <c r="K45" s="110"/>
      <c r="L45" s="110"/>
      <c r="M45" s="110">
        <v>0</v>
      </c>
    </row>
    <row r="46" spans="1:13" x14ac:dyDescent="0.2">
      <c r="A46" s="71" t="s">
        <v>78</v>
      </c>
      <c r="B46" s="71" t="s">
        <v>144</v>
      </c>
      <c r="C46" s="71" t="s">
        <v>79</v>
      </c>
      <c r="D46" s="69" t="s">
        <v>76</v>
      </c>
      <c r="E46" s="148">
        <v>7</v>
      </c>
      <c r="F46" s="110"/>
      <c r="G46" s="110"/>
      <c r="H46" s="110"/>
      <c r="I46" s="110"/>
      <c r="J46" s="110"/>
      <c r="K46" s="110"/>
      <c r="L46" s="110"/>
      <c r="M46" s="110">
        <v>0</v>
      </c>
    </row>
    <row r="47" spans="1:13" x14ac:dyDescent="0.2">
      <c r="A47" s="71" t="s">
        <v>80</v>
      </c>
      <c r="B47" s="71" t="s">
        <v>144</v>
      </c>
      <c r="C47" s="71"/>
      <c r="D47" s="69" t="s">
        <v>76</v>
      </c>
      <c r="E47" s="148">
        <v>8</v>
      </c>
      <c r="F47" s="110"/>
      <c r="G47" s="110"/>
      <c r="H47" s="110"/>
      <c r="I47" s="110"/>
      <c r="J47" s="110"/>
      <c r="K47" s="110"/>
      <c r="L47" s="110"/>
      <c r="M47" s="110">
        <v>0</v>
      </c>
    </row>
    <row r="48" spans="1:13" x14ac:dyDescent="0.2">
      <c r="A48" s="69" t="s">
        <v>146</v>
      </c>
      <c r="B48" s="69" t="s">
        <v>144</v>
      </c>
      <c r="C48" s="69" t="s">
        <v>88</v>
      </c>
      <c r="D48" s="69" t="s">
        <v>76</v>
      </c>
      <c r="E48" s="148">
        <v>15</v>
      </c>
      <c r="F48" s="110"/>
      <c r="G48" s="110"/>
      <c r="H48" s="110"/>
      <c r="I48" s="110"/>
      <c r="J48" s="110"/>
      <c r="K48" s="110"/>
      <c r="L48" s="110"/>
      <c r="M48" s="110">
        <v>0</v>
      </c>
    </row>
    <row r="49" spans="1:13" x14ac:dyDescent="0.2">
      <c r="A49" s="69" t="s">
        <v>90</v>
      </c>
      <c r="B49" s="69" t="s">
        <v>144</v>
      </c>
      <c r="C49" s="69" t="s">
        <v>147</v>
      </c>
      <c r="D49" s="69" t="s">
        <v>76</v>
      </c>
      <c r="E49" s="148">
        <v>17</v>
      </c>
      <c r="F49" s="110"/>
      <c r="G49" s="110"/>
      <c r="H49" s="110"/>
      <c r="I49" s="110"/>
      <c r="J49" s="110"/>
      <c r="K49" s="110"/>
      <c r="L49" s="110"/>
      <c r="M49" s="110">
        <v>0</v>
      </c>
    </row>
    <row r="50" spans="1:13" x14ac:dyDescent="0.2">
      <c r="A50" s="69" t="s">
        <v>91</v>
      </c>
      <c r="B50" s="69" t="s">
        <v>144</v>
      </c>
      <c r="C50" s="69" t="s">
        <v>92</v>
      </c>
      <c r="D50" s="69" t="s">
        <v>76</v>
      </c>
      <c r="E50" s="148">
        <v>18</v>
      </c>
      <c r="F50" s="110"/>
      <c r="G50" s="110"/>
      <c r="H50" s="110"/>
      <c r="I50" s="110"/>
      <c r="J50" s="110"/>
      <c r="K50" s="110"/>
      <c r="L50" s="110"/>
      <c r="M50" s="110">
        <v>0</v>
      </c>
    </row>
    <row r="51" spans="1:13" x14ac:dyDescent="0.2">
      <c r="A51" s="69" t="s">
        <v>148</v>
      </c>
      <c r="B51" s="69" t="s">
        <v>144</v>
      </c>
      <c r="C51" s="69" t="s">
        <v>94</v>
      </c>
      <c r="D51" s="69" t="s">
        <v>76</v>
      </c>
      <c r="E51" s="148">
        <v>19</v>
      </c>
      <c r="F51" s="110"/>
      <c r="G51" s="110"/>
      <c r="H51" s="110"/>
      <c r="I51" s="110"/>
      <c r="J51" s="110"/>
      <c r="K51" s="110"/>
      <c r="L51" s="110"/>
      <c r="M51" s="110">
        <v>0</v>
      </c>
    </row>
    <row r="53" spans="1:13" x14ac:dyDescent="0.2">
      <c r="A53" t="s">
        <v>215</v>
      </c>
      <c r="M53" s="29">
        <f>SUM(M30:M45)</f>
        <v>0</v>
      </c>
    </row>
    <row r="54" spans="1:13" x14ac:dyDescent="0.2">
      <c r="A54" t="s">
        <v>216</v>
      </c>
      <c r="M54" s="29">
        <f>SUM(M46:M51)</f>
        <v>0</v>
      </c>
    </row>
    <row r="55" spans="1:13" x14ac:dyDescent="0.2">
      <c r="A55" t="s">
        <v>217</v>
      </c>
      <c r="M55" s="143">
        <f>+M54-M53</f>
        <v>0</v>
      </c>
    </row>
  </sheetData>
  <sheetProtection selectLockedCells="1" selectUnlockedCells="1"/>
  <customSheetViews>
    <customSheetView guid="{2689D123-C182-4EB2-AD12-2EBB4C48D466}" hiddenColumns="1">
      <selection activeCell="G9" sqref="G9"/>
      <pageMargins left="0.75" right="0.75" top="1" bottom="1" header="0.51180555555555551" footer="0.51180555555555551"/>
      <pageSetup firstPageNumber="0" orientation="portrait" horizontalDpi="300" verticalDpi="300" r:id="rId1"/>
      <headerFooter alignWithMargins="0"/>
    </customSheetView>
    <customSheetView guid="{66341D55-D973-4BB5-9B70-DB158BEA4662}" hiddenRows="1" hiddenColumns="1">
      <selection activeCell="A29" sqref="A29:G55"/>
      <pageMargins left="0.75" right="0.75" top="1" bottom="1" header="0.51180555555555551" footer="0.51180555555555551"/>
      <pageSetup firstPageNumber="0" orientation="portrait" horizontalDpi="300" verticalDpi="300" r:id="rId2"/>
      <headerFooter alignWithMargins="0"/>
    </customSheetView>
  </customSheetViews>
  <mergeCells count="2">
    <mergeCell ref="A1:D1"/>
    <mergeCell ref="R1:T1"/>
  </mergeCells>
  <phoneticPr fontId="9" type="noConversion"/>
  <pageMargins left="0.75" right="0.75" top="1" bottom="1" header="0.51180555555555551" footer="0.51180555555555551"/>
  <pageSetup scale="91" firstPageNumber="0" orientation="landscape" r:id="rId3"/>
  <headerFooter alignWithMargins="0">
    <oddHeader>&amp;CADMINISTRATION</oddHeader>
  </headerFooter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23"/>
  </sheetPr>
  <dimension ref="A1:T47"/>
  <sheetViews>
    <sheetView zoomScaleNormal="100" workbookViewId="0">
      <selection activeCell="F11" sqref="F11"/>
    </sheetView>
  </sheetViews>
  <sheetFormatPr defaultRowHeight="12.75" x14ac:dyDescent="0.2"/>
  <cols>
    <col min="1" max="1" width="27.28515625" customWidth="1"/>
    <col min="2" max="2" width="14.85546875" hidden="1" customWidth="1"/>
    <col min="3" max="3" width="11.140625" hidden="1" customWidth="1"/>
    <col min="4" max="4" width="15.42578125" bestFit="1" customWidth="1"/>
    <col min="5" max="5" width="5.28515625" style="146" hidden="1" customWidth="1"/>
    <col min="6" max="11" width="11.140625" bestFit="1" customWidth="1"/>
    <col min="12" max="12" width="10.85546875" customWidth="1"/>
    <col min="13" max="13" width="10.85546875" hidden="1" customWidth="1"/>
    <col min="14" max="14" width="9.28515625" hidden="1" customWidth="1"/>
    <col min="15" max="18" width="0" hidden="1" customWidth="1"/>
    <col min="19" max="19" width="10.7109375" hidden="1" customWidth="1"/>
    <col min="20" max="25" width="0" hidden="1" customWidth="1"/>
  </cols>
  <sheetData>
    <row r="1" spans="1:20" s="115" customFormat="1" ht="13.5" customHeight="1" x14ac:dyDescent="0.25">
      <c r="A1" s="265" t="s">
        <v>0</v>
      </c>
      <c r="B1" s="265"/>
      <c r="C1" s="265"/>
      <c r="D1" s="265"/>
      <c r="E1" s="145"/>
      <c r="F1" s="113" t="s">
        <v>258</v>
      </c>
      <c r="G1" s="4" t="s">
        <v>4</v>
      </c>
      <c r="H1" s="4" t="s">
        <v>4</v>
      </c>
      <c r="I1" s="4" t="s">
        <v>4</v>
      </c>
      <c r="J1" s="4" t="s">
        <v>4</v>
      </c>
      <c r="K1" s="4" t="s">
        <v>4</v>
      </c>
      <c r="L1" s="4" t="s">
        <v>4</v>
      </c>
      <c r="M1" s="4" t="s">
        <v>4</v>
      </c>
      <c r="N1" s="113" t="s">
        <v>4</v>
      </c>
      <c r="O1" s="113" t="s">
        <v>4</v>
      </c>
      <c r="P1" s="114" t="s">
        <v>4</v>
      </c>
      <c r="Q1" s="113" t="s">
        <v>4</v>
      </c>
      <c r="R1" s="266" t="s">
        <v>5</v>
      </c>
      <c r="S1" s="266"/>
      <c r="T1" s="266"/>
    </row>
    <row r="2" spans="1:20" s="115" customFormat="1" ht="13.5" customHeight="1" x14ac:dyDescent="0.25">
      <c r="A2" s="116" t="s">
        <v>6</v>
      </c>
      <c r="B2" s="116" t="s">
        <v>7</v>
      </c>
      <c r="C2" s="116" t="s">
        <v>8</v>
      </c>
      <c r="D2" s="116" t="s">
        <v>9</v>
      </c>
      <c r="E2" s="145" t="s">
        <v>143</v>
      </c>
      <c r="F2" s="117">
        <v>2022</v>
      </c>
      <c r="G2" s="117">
        <v>2021</v>
      </c>
      <c r="H2" s="117">
        <v>2020</v>
      </c>
      <c r="I2" s="117">
        <v>2019</v>
      </c>
      <c r="J2" s="117">
        <v>2018</v>
      </c>
      <c r="K2" s="117">
        <v>2017</v>
      </c>
      <c r="L2" s="117">
        <v>2016</v>
      </c>
      <c r="M2" s="117">
        <v>2015</v>
      </c>
      <c r="N2" s="117">
        <v>2014</v>
      </c>
      <c r="O2" s="117">
        <v>2013</v>
      </c>
      <c r="P2" s="108">
        <v>2012</v>
      </c>
      <c r="Q2" s="117">
        <v>2011</v>
      </c>
      <c r="R2" s="106">
        <v>2010</v>
      </c>
      <c r="S2" s="106">
        <v>2009</v>
      </c>
      <c r="T2" s="106">
        <v>2008</v>
      </c>
    </row>
    <row r="3" spans="1:20" s="195" customFormat="1" ht="13.5" customHeight="1" x14ac:dyDescent="0.2">
      <c r="A3" s="208" t="s">
        <v>56</v>
      </c>
      <c r="B3" s="198" t="s">
        <v>155</v>
      </c>
      <c r="D3" s="195" t="s">
        <v>15</v>
      </c>
      <c r="E3" s="196">
        <v>68</v>
      </c>
      <c r="F3" s="209">
        <v>150</v>
      </c>
      <c r="G3" s="209">
        <v>120.45</v>
      </c>
      <c r="H3" s="209">
        <v>255.4</v>
      </c>
      <c r="I3" s="209">
        <v>0</v>
      </c>
      <c r="J3" s="209">
        <v>394.86</v>
      </c>
      <c r="K3" s="251">
        <v>331.43</v>
      </c>
      <c r="L3" s="251">
        <v>316.35000000000002</v>
      </c>
      <c r="M3" s="209">
        <f>371.94+M35</f>
        <v>371.94</v>
      </c>
      <c r="N3" s="209">
        <v>596.97</v>
      </c>
      <c r="O3" s="210">
        <v>482</v>
      </c>
      <c r="P3" s="204">
        <v>396.57</v>
      </c>
      <c r="Q3" s="204">
        <v>323.2</v>
      </c>
      <c r="R3" s="211">
        <v>364</v>
      </c>
      <c r="S3" s="211">
        <v>363</v>
      </c>
      <c r="T3" s="211">
        <v>302</v>
      </c>
    </row>
    <row r="4" spans="1:20" s="195" customFormat="1" ht="13.5" customHeight="1" x14ac:dyDescent="0.2">
      <c r="A4" s="208" t="s">
        <v>156</v>
      </c>
      <c r="B4" s="198" t="s">
        <v>155</v>
      </c>
      <c r="D4" s="195" t="s">
        <v>15</v>
      </c>
      <c r="E4" s="196"/>
      <c r="F4" s="209">
        <v>350</v>
      </c>
      <c r="G4" s="209">
        <v>0</v>
      </c>
      <c r="H4" s="209">
        <v>0</v>
      </c>
      <c r="I4" s="209">
        <v>0</v>
      </c>
      <c r="J4" s="209">
        <v>560</v>
      </c>
      <c r="K4" s="251">
        <f>K22</f>
        <v>600</v>
      </c>
      <c r="L4" s="251">
        <v>0</v>
      </c>
      <c r="M4" s="209">
        <f>+M36</f>
        <v>0</v>
      </c>
      <c r="N4" s="209"/>
      <c r="O4" s="210"/>
      <c r="P4" s="204"/>
      <c r="Q4" s="204"/>
      <c r="R4" s="211"/>
      <c r="S4" s="211"/>
      <c r="T4" s="211"/>
    </row>
    <row r="5" spans="1:20" s="198" customFormat="1" x14ac:dyDescent="0.2">
      <c r="A5" s="208" t="s">
        <v>63</v>
      </c>
      <c r="B5" s="198" t="s">
        <v>155</v>
      </c>
      <c r="D5" s="198" t="s">
        <v>15</v>
      </c>
      <c r="E5" s="212">
        <v>71</v>
      </c>
      <c r="F5" s="209">
        <v>0</v>
      </c>
      <c r="G5" s="209">
        <v>0</v>
      </c>
      <c r="H5" s="209">
        <v>0</v>
      </c>
      <c r="I5" s="209">
        <v>0</v>
      </c>
      <c r="J5" s="209">
        <v>0</v>
      </c>
      <c r="K5" s="251">
        <v>0</v>
      </c>
      <c r="L5" s="251">
        <v>0</v>
      </c>
      <c r="M5" s="209">
        <f>+M37</f>
        <v>0</v>
      </c>
      <c r="N5" s="209">
        <v>0</v>
      </c>
      <c r="O5" s="209">
        <v>0</v>
      </c>
      <c r="P5" s="209">
        <v>0</v>
      </c>
      <c r="Q5" s="209"/>
      <c r="R5" s="209"/>
      <c r="S5" s="209">
        <v>255</v>
      </c>
      <c r="T5" s="209"/>
    </row>
    <row r="6" spans="1:20" s="198" customFormat="1" x14ac:dyDescent="0.2">
      <c r="A6" s="213" t="s">
        <v>231</v>
      </c>
      <c r="B6" s="198" t="s">
        <v>155</v>
      </c>
      <c r="D6" s="198" t="s">
        <v>15</v>
      </c>
      <c r="E6" s="212"/>
      <c r="F6" s="209">
        <v>0</v>
      </c>
      <c r="G6" s="209">
        <v>0</v>
      </c>
      <c r="H6" s="209">
        <v>0</v>
      </c>
      <c r="I6" s="209">
        <v>0</v>
      </c>
      <c r="J6" s="209">
        <v>0</v>
      </c>
      <c r="K6" s="251">
        <f>K21</f>
        <v>0</v>
      </c>
      <c r="L6" s="251"/>
      <c r="M6" s="209"/>
      <c r="N6" s="209"/>
      <c r="O6" s="209"/>
      <c r="P6" s="209"/>
      <c r="Q6" s="209"/>
      <c r="R6" s="209"/>
      <c r="S6" s="209"/>
      <c r="T6" s="209"/>
    </row>
    <row r="7" spans="1:20" s="198" customFormat="1" x14ac:dyDescent="0.2">
      <c r="A7" s="213" t="s">
        <v>63</v>
      </c>
      <c r="B7" s="198" t="s">
        <v>155</v>
      </c>
      <c r="D7" s="198" t="s">
        <v>15</v>
      </c>
      <c r="E7" s="212"/>
      <c r="F7" s="209">
        <v>0</v>
      </c>
      <c r="G7" s="209">
        <v>0</v>
      </c>
      <c r="H7" s="209">
        <v>0</v>
      </c>
      <c r="I7" s="209">
        <v>0</v>
      </c>
      <c r="J7" s="209">
        <v>0</v>
      </c>
      <c r="K7" s="251">
        <v>0</v>
      </c>
      <c r="L7" s="251"/>
      <c r="M7" s="209"/>
      <c r="N7" s="209"/>
      <c r="O7" s="209"/>
      <c r="P7" s="209"/>
      <c r="Q7" s="209"/>
      <c r="R7" s="209"/>
      <c r="S7" s="209"/>
      <c r="T7" s="209"/>
    </row>
    <row r="8" spans="1:20" s="198" customFormat="1" x14ac:dyDescent="0.2">
      <c r="A8" s="213" t="s">
        <v>255</v>
      </c>
      <c r="B8" s="198" t="s">
        <v>155</v>
      </c>
      <c r="D8" s="198" t="s">
        <v>15</v>
      </c>
      <c r="E8" s="212"/>
      <c r="F8" s="209">
        <v>0</v>
      </c>
      <c r="G8" s="209">
        <v>0</v>
      </c>
      <c r="H8" s="209">
        <v>0</v>
      </c>
      <c r="I8" s="209">
        <v>0</v>
      </c>
      <c r="J8" s="209">
        <v>100</v>
      </c>
      <c r="K8" s="251">
        <v>0</v>
      </c>
      <c r="L8" s="251"/>
      <c r="M8" s="209"/>
      <c r="N8" s="209"/>
      <c r="O8" s="209"/>
      <c r="P8" s="209"/>
      <c r="Q8" s="209"/>
      <c r="R8" s="209"/>
      <c r="S8" s="209"/>
      <c r="T8" s="209"/>
    </row>
    <row r="9" spans="1:20" s="198" customFormat="1" x14ac:dyDescent="0.2">
      <c r="A9" s="213" t="s">
        <v>256</v>
      </c>
      <c r="B9" s="198" t="s">
        <v>155</v>
      </c>
      <c r="D9" s="198" t="s">
        <v>15</v>
      </c>
      <c r="E9" s="212"/>
      <c r="F9" s="209">
        <v>0</v>
      </c>
      <c r="G9" s="209">
        <v>0</v>
      </c>
      <c r="H9" s="209">
        <v>0</v>
      </c>
      <c r="I9" s="209">
        <v>0</v>
      </c>
      <c r="J9" s="209">
        <v>0</v>
      </c>
      <c r="K9" s="251"/>
      <c r="L9" s="251"/>
      <c r="M9" s="209"/>
      <c r="N9" s="209"/>
      <c r="O9" s="209"/>
      <c r="P9" s="209"/>
      <c r="Q9" s="209"/>
      <c r="R9" s="209"/>
      <c r="S9" s="209"/>
      <c r="T9" s="209"/>
    </row>
    <row r="10" spans="1:20" s="198" customFormat="1" x14ac:dyDescent="0.2">
      <c r="A10" s="213" t="s">
        <v>229</v>
      </c>
      <c r="B10" s="198" t="s">
        <v>155</v>
      </c>
      <c r="D10" s="198" t="s">
        <v>15</v>
      </c>
      <c r="E10" s="212"/>
      <c r="F10" s="209">
        <v>0</v>
      </c>
      <c r="G10" s="209">
        <v>0</v>
      </c>
      <c r="H10" s="209">
        <v>0</v>
      </c>
      <c r="I10" s="209">
        <v>0</v>
      </c>
      <c r="J10" s="209">
        <v>0</v>
      </c>
      <c r="K10" s="251">
        <f>K27</f>
        <v>150</v>
      </c>
      <c r="L10" s="251"/>
      <c r="M10" s="209"/>
      <c r="N10" s="209"/>
      <c r="O10" s="209"/>
      <c r="P10" s="209"/>
      <c r="Q10" s="209"/>
      <c r="R10" s="209"/>
      <c r="S10" s="209"/>
      <c r="T10" s="209"/>
    </row>
    <row r="11" spans="1:20" s="198" customFormat="1" ht="13.5" thickBot="1" x14ac:dyDescent="0.25">
      <c r="A11" s="213" t="s">
        <v>265</v>
      </c>
      <c r="B11" s="198" t="s">
        <v>155</v>
      </c>
      <c r="D11" s="198" t="s">
        <v>15</v>
      </c>
      <c r="E11" s="212">
        <v>72</v>
      </c>
      <c r="F11" s="209">
        <v>150</v>
      </c>
      <c r="G11" s="209">
        <v>100.37</v>
      </c>
      <c r="H11" s="209">
        <v>0</v>
      </c>
      <c r="I11" s="209">
        <v>442.22</v>
      </c>
      <c r="J11" s="209">
        <v>231.13</v>
      </c>
      <c r="K11" s="251">
        <v>627.36</v>
      </c>
      <c r="L11" s="251">
        <v>453.29</v>
      </c>
      <c r="M11" s="209">
        <v>754.05</v>
      </c>
      <c r="N11" s="209">
        <v>18</v>
      </c>
      <c r="O11" s="214">
        <v>98</v>
      </c>
      <c r="P11" s="209">
        <v>0</v>
      </c>
      <c r="Q11" s="209">
        <v>190.9</v>
      </c>
      <c r="R11" s="209">
        <v>306</v>
      </c>
      <c r="S11" s="209">
        <v>465</v>
      </c>
      <c r="T11" s="209">
        <v>171</v>
      </c>
    </row>
    <row r="12" spans="1:20" s="203" customFormat="1" ht="13.5" thickTop="1" x14ac:dyDescent="0.2">
      <c r="A12" s="215" t="s">
        <v>63</v>
      </c>
      <c r="B12" s="203" t="s">
        <v>155</v>
      </c>
      <c r="D12" s="203" t="s">
        <v>76</v>
      </c>
      <c r="E12" s="216">
        <v>23</v>
      </c>
      <c r="F12" s="217">
        <v>0</v>
      </c>
      <c r="G12" s="217">
        <v>0</v>
      </c>
      <c r="H12" s="217">
        <v>0</v>
      </c>
      <c r="I12" s="217">
        <v>918</v>
      </c>
      <c r="J12" s="217">
        <v>0</v>
      </c>
      <c r="K12" s="217">
        <v>0</v>
      </c>
      <c r="L12" s="217">
        <v>0</v>
      </c>
      <c r="M12" s="217">
        <f>+M39</f>
        <v>0</v>
      </c>
      <c r="N12" s="217">
        <v>0</v>
      </c>
      <c r="O12" s="217">
        <v>0</v>
      </c>
      <c r="P12" s="217"/>
      <c r="Q12" s="217"/>
      <c r="R12" s="217"/>
      <c r="S12" s="217">
        <v>265</v>
      </c>
      <c r="T12" s="217"/>
    </row>
    <row r="13" spans="1:20" s="198" customFormat="1" x14ac:dyDescent="0.2">
      <c r="A13" s="213" t="s">
        <v>64</v>
      </c>
      <c r="B13" s="198" t="s">
        <v>155</v>
      </c>
      <c r="C13" s="198" t="s">
        <v>157</v>
      </c>
      <c r="D13" s="198" t="s">
        <v>76</v>
      </c>
      <c r="E13" s="212">
        <v>24</v>
      </c>
      <c r="F13" s="209">
        <v>0</v>
      </c>
      <c r="G13" s="209">
        <v>0</v>
      </c>
      <c r="H13" s="209">
        <v>0</v>
      </c>
      <c r="I13" s="209">
        <v>0</v>
      </c>
      <c r="J13" s="209">
        <v>0</v>
      </c>
      <c r="K13" s="209">
        <v>0</v>
      </c>
      <c r="L13" s="209">
        <v>0</v>
      </c>
      <c r="M13" s="209">
        <f>150+M40</f>
        <v>150</v>
      </c>
      <c r="N13" s="209">
        <v>0</v>
      </c>
      <c r="O13" s="209"/>
      <c r="P13" s="209">
        <v>200</v>
      </c>
      <c r="Q13" s="209">
        <v>100</v>
      </c>
      <c r="R13" s="209">
        <v>150</v>
      </c>
      <c r="S13" s="209">
        <v>195</v>
      </c>
      <c r="T13" s="209">
        <v>150</v>
      </c>
    </row>
    <row r="14" spans="1:20" x14ac:dyDescent="0.2">
      <c r="A14" s="13" t="s">
        <v>149</v>
      </c>
      <c r="F14" s="29">
        <f t="shared" ref="F14:K14" si="0">+F16+F15</f>
        <v>-650</v>
      </c>
      <c r="G14" s="29">
        <f t="shared" si="0"/>
        <v>-220.82</v>
      </c>
      <c r="H14" s="29">
        <f t="shared" si="0"/>
        <v>-255.4</v>
      </c>
      <c r="I14" s="29">
        <f t="shared" si="0"/>
        <v>475.78</v>
      </c>
      <c r="J14" s="29">
        <f t="shared" si="0"/>
        <v>-1285.9900000000002</v>
      </c>
      <c r="K14" s="29">
        <f t="shared" si="0"/>
        <v>-1708.79</v>
      </c>
      <c r="L14" s="29">
        <f t="shared" ref="L14:T14" si="1">+L16+L15</f>
        <v>-769.6400000000001</v>
      </c>
      <c r="M14" s="29">
        <f>+M16+M15</f>
        <v>-975.99</v>
      </c>
      <c r="N14" s="29">
        <f t="shared" si="1"/>
        <v>-614.97</v>
      </c>
      <c r="O14" s="29">
        <f t="shared" si="1"/>
        <v>-580</v>
      </c>
      <c r="P14" s="29">
        <f t="shared" si="1"/>
        <v>-196.57</v>
      </c>
      <c r="Q14" s="29">
        <f t="shared" si="1"/>
        <v>-414.1</v>
      </c>
      <c r="R14" s="29">
        <f t="shared" si="1"/>
        <v>-520</v>
      </c>
      <c r="S14" s="29">
        <f t="shared" si="1"/>
        <v>-623</v>
      </c>
      <c r="T14" s="29">
        <f t="shared" si="1"/>
        <v>-323</v>
      </c>
    </row>
    <row r="15" spans="1:20" x14ac:dyDescent="0.2">
      <c r="A15" s="13" t="s">
        <v>75</v>
      </c>
      <c r="F15" s="29">
        <f t="shared" ref="F15:K15" si="2">SUM(F12:F13)</f>
        <v>0</v>
      </c>
      <c r="G15" s="29">
        <f t="shared" si="2"/>
        <v>0</v>
      </c>
      <c r="H15" s="29">
        <f t="shared" si="2"/>
        <v>0</v>
      </c>
      <c r="I15" s="29">
        <f t="shared" si="2"/>
        <v>918</v>
      </c>
      <c r="J15" s="29">
        <f t="shared" si="2"/>
        <v>0</v>
      </c>
      <c r="K15" s="29">
        <f t="shared" si="2"/>
        <v>0</v>
      </c>
      <c r="L15" s="29">
        <f t="shared" ref="L15:T15" si="3">SUM(L12:L13)</f>
        <v>0</v>
      </c>
      <c r="M15" s="29">
        <f>SUM(M12:M13)</f>
        <v>150</v>
      </c>
      <c r="N15" s="29">
        <f t="shared" si="3"/>
        <v>0</v>
      </c>
      <c r="O15" s="29">
        <f t="shared" si="3"/>
        <v>0</v>
      </c>
      <c r="P15" s="29">
        <f t="shared" si="3"/>
        <v>200</v>
      </c>
      <c r="Q15" s="29">
        <f t="shared" si="3"/>
        <v>100</v>
      </c>
      <c r="R15" s="29">
        <f t="shared" si="3"/>
        <v>150</v>
      </c>
      <c r="S15" s="29">
        <f t="shared" si="3"/>
        <v>460</v>
      </c>
      <c r="T15" s="29">
        <f t="shared" si="3"/>
        <v>150</v>
      </c>
    </row>
    <row r="16" spans="1:20" x14ac:dyDescent="0.2">
      <c r="A16" s="13" t="s">
        <v>14</v>
      </c>
      <c r="F16" s="29">
        <f t="shared" ref="F16:K16" si="4">-SUM(F3:F11)</f>
        <v>-650</v>
      </c>
      <c r="G16" s="29">
        <f t="shared" si="4"/>
        <v>-220.82</v>
      </c>
      <c r="H16" s="29">
        <f t="shared" si="4"/>
        <v>-255.4</v>
      </c>
      <c r="I16" s="29">
        <f t="shared" si="4"/>
        <v>-442.22</v>
      </c>
      <c r="J16" s="29">
        <f t="shared" si="4"/>
        <v>-1285.9900000000002</v>
      </c>
      <c r="K16" s="29">
        <f t="shared" si="4"/>
        <v>-1708.79</v>
      </c>
      <c r="L16" s="29">
        <f t="shared" ref="L16:T16" si="5">-SUM(L3:L11)</f>
        <v>-769.6400000000001</v>
      </c>
      <c r="M16" s="29">
        <f>-SUM(M3:M11)</f>
        <v>-1125.99</v>
      </c>
      <c r="N16" s="29">
        <f t="shared" si="5"/>
        <v>-614.97</v>
      </c>
      <c r="O16" s="29">
        <f t="shared" si="5"/>
        <v>-580</v>
      </c>
      <c r="P16" s="29">
        <f t="shared" si="5"/>
        <v>-396.57</v>
      </c>
      <c r="Q16" s="29">
        <f t="shared" si="5"/>
        <v>-514.1</v>
      </c>
      <c r="R16" s="29">
        <f t="shared" si="5"/>
        <v>-670</v>
      </c>
      <c r="S16" s="29">
        <f t="shared" si="5"/>
        <v>-1083</v>
      </c>
      <c r="T16" s="29">
        <f t="shared" si="5"/>
        <v>-473</v>
      </c>
    </row>
    <row r="18" spans="1:15" x14ac:dyDescent="0.2">
      <c r="N18" s="125">
        <v>1</v>
      </c>
      <c r="O18" t="s">
        <v>163</v>
      </c>
    </row>
    <row r="19" spans="1:15" x14ac:dyDescent="0.2">
      <c r="A19" s="13" t="s">
        <v>227</v>
      </c>
      <c r="O19" t="s">
        <v>164</v>
      </c>
    </row>
    <row r="20" spans="1:15" x14ac:dyDescent="0.2">
      <c r="A20" s="121" t="s">
        <v>158</v>
      </c>
      <c r="F20" s="122">
        <f>F3</f>
        <v>150</v>
      </c>
      <c r="G20" s="122">
        <f>G3</f>
        <v>120.45</v>
      </c>
      <c r="H20" s="122">
        <f>H3</f>
        <v>255.4</v>
      </c>
      <c r="I20" s="122">
        <f>I3</f>
        <v>0</v>
      </c>
      <c r="J20" s="122">
        <f>J3</f>
        <v>394.86</v>
      </c>
      <c r="K20" s="122">
        <f>300+300</f>
        <v>600</v>
      </c>
      <c r="L20" s="122">
        <v>500</v>
      </c>
      <c r="M20" s="122"/>
    </row>
    <row r="21" spans="1:15" x14ac:dyDescent="0.2">
      <c r="A21" s="149" t="s">
        <v>230</v>
      </c>
      <c r="F21" s="122">
        <f>F6</f>
        <v>0</v>
      </c>
      <c r="G21" s="122">
        <f>G6</f>
        <v>0</v>
      </c>
      <c r="H21" s="122">
        <f>H6</f>
        <v>0</v>
      </c>
      <c r="I21" s="122">
        <f>I6</f>
        <v>0</v>
      </c>
      <c r="J21" s="122">
        <f>J6</f>
        <v>0</v>
      </c>
      <c r="K21" s="122">
        <v>0</v>
      </c>
      <c r="L21" s="122">
        <v>225</v>
      </c>
      <c r="M21" s="123">
        <v>1</v>
      </c>
      <c r="N21" s="125">
        <v>2</v>
      </c>
      <c r="O21" t="s">
        <v>165</v>
      </c>
    </row>
    <row r="22" spans="1:15" x14ac:dyDescent="0.2">
      <c r="A22" t="s">
        <v>159</v>
      </c>
      <c r="F22" s="122">
        <f>F4</f>
        <v>350</v>
      </c>
      <c r="G22" s="122">
        <f>G4</f>
        <v>0</v>
      </c>
      <c r="H22" s="122">
        <f>H4</f>
        <v>0</v>
      </c>
      <c r="I22" s="122">
        <f>I4</f>
        <v>0</v>
      </c>
      <c r="J22" s="122">
        <f>J4</f>
        <v>560</v>
      </c>
      <c r="K22" s="122">
        <f>80*2+60*2+200+60*2</f>
        <v>600</v>
      </c>
      <c r="L22" s="122">
        <v>180</v>
      </c>
      <c r="M22" s="123">
        <v>2</v>
      </c>
      <c r="O22" t="s">
        <v>166</v>
      </c>
    </row>
    <row r="23" spans="1:15" x14ac:dyDescent="0.2">
      <c r="A23" s="123" t="s">
        <v>160</v>
      </c>
      <c r="F23" s="122">
        <f>F7</f>
        <v>0</v>
      </c>
      <c r="G23" s="122">
        <f>G7</f>
        <v>0</v>
      </c>
      <c r="H23" s="122">
        <f>H7</f>
        <v>0</v>
      </c>
      <c r="I23" s="122">
        <f>I7</f>
        <v>0</v>
      </c>
      <c r="J23" s="122">
        <f>J7</f>
        <v>0</v>
      </c>
      <c r="K23" s="122">
        <v>50</v>
      </c>
      <c r="L23" s="122">
        <v>50</v>
      </c>
      <c r="M23" s="123">
        <v>3</v>
      </c>
      <c r="O23" t="s">
        <v>167</v>
      </c>
    </row>
    <row r="24" spans="1:15" x14ac:dyDescent="0.2">
      <c r="A24" t="s">
        <v>161</v>
      </c>
      <c r="F24" s="122">
        <f>F11</f>
        <v>150</v>
      </c>
      <c r="G24" s="122">
        <f>G11</f>
        <v>100.37</v>
      </c>
      <c r="H24" s="122">
        <f>H11</f>
        <v>0</v>
      </c>
      <c r="I24" s="122">
        <f>I11</f>
        <v>442.22</v>
      </c>
      <c r="J24" s="122">
        <f>J11</f>
        <v>231.13</v>
      </c>
      <c r="K24" s="122">
        <f>75+75+66+10</f>
        <v>226</v>
      </c>
      <c r="L24" s="122">
        <f>160+80+90</f>
        <v>330</v>
      </c>
      <c r="M24" s="123">
        <v>4</v>
      </c>
    </row>
    <row r="25" spans="1:15" x14ac:dyDescent="0.2">
      <c r="A25" t="s">
        <v>255</v>
      </c>
      <c r="F25" s="122">
        <f>F8</f>
        <v>0</v>
      </c>
      <c r="G25" s="122">
        <f>G8</f>
        <v>0</v>
      </c>
      <c r="H25" s="122">
        <f>H8</f>
        <v>0</v>
      </c>
      <c r="I25" s="122">
        <f>I8</f>
        <v>0</v>
      </c>
      <c r="J25" s="122">
        <f>J8</f>
        <v>100</v>
      </c>
      <c r="K25" s="122">
        <v>200</v>
      </c>
      <c r="L25" s="122"/>
      <c r="M25" s="123"/>
    </row>
    <row r="26" spans="1:15" x14ac:dyDescent="0.2">
      <c r="A26" t="s">
        <v>256</v>
      </c>
      <c r="F26" s="122">
        <v>100</v>
      </c>
      <c r="G26" s="122">
        <v>100</v>
      </c>
      <c r="H26" s="122">
        <v>100</v>
      </c>
      <c r="I26" s="122">
        <v>100</v>
      </c>
      <c r="J26" s="122">
        <v>100</v>
      </c>
      <c r="K26" s="122"/>
      <c r="L26" s="122"/>
      <c r="M26" s="123"/>
    </row>
    <row r="27" spans="1:15" x14ac:dyDescent="0.2">
      <c r="A27" t="s">
        <v>229</v>
      </c>
      <c r="F27" s="122">
        <f>F10</f>
        <v>0</v>
      </c>
      <c r="G27" s="122">
        <f>G10</f>
        <v>0</v>
      </c>
      <c r="H27" s="122">
        <f>H10</f>
        <v>0</v>
      </c>
      <c r="I27" s="122">
        <f>I10</f>
        <v>0</v>
      </c>
      <c r="J27" s="122">
        <f>J10</f>
        <v>0</v>
      </c>
      <c r="K27" s="122">
        <v>150</v>
      </c>
      <c r="L27" s="122"/>
      <c r="M27" s="123"/>
    </row>
    <row r="28" spans="1:15" ht="13.5" thickBot="1" x14ac:dyDescent="0.25">
      <c r="A28" s="123" t="s">
        <v>162</v>
      </c>
      <c r="F28" s="124">
        <f t="shared" ref="F28:K28" si="6">SUM(F20:F27)</f>
        <v>750</v>
      </c>
      <c r="G28" s="124">
        <f t="shared" si="6"/>
        <v>320.82</v>
      </c>
      <c r="H28" s="124">
        <f t="shared" si="6"/>
        <v>355.4</v>
      </c>
      <c r="I28" s="124">
        <f t="shared" si="6"/>
        <v>542.22</v>
      </c>
      <c r="J28" s="124">
        <f t="shared" si="6"/>
        <v>1385.99</v>
      </c>
      <c r="K28" s="124">
        <f t="shared" si="6"/>
        <v>1826</v>
      </c>
      <c r="L28" s="124">
        <f>SUM(L20:L24)</f>
        <v>1285</v>
      </c>
      <c r="M28" s="140"/>
      <c r="N28" s="125">
        <v>3</v>
      </c>
      <c r="O28" s="123" t="s">
        <v>168</v>
      </c>
    </row>
    <row r="29" spans="1:15" ht="13.5" thickTop="1" x14ac:dyDescent="0.2">
      <c r="A29" s="123"/>
      <c r="F29" s="122"/>
      <c r="G29" s="122"/>
      <c r="H29" s="122"/>
      <c r="I29" s="122"/>
      <c r="J29" s="122"/>
      <c r="K29" s="122"/>
      <c r="L29" s="122"/>
      <c r="M29" s="122"/>
    </row>
    <row r="30" spans="1:15" x14ac:dyDescent="0.2">
      <c r="A30" s="123"/>
      <c r="F30" s="122"/>
      <c r="G30" s="122"/>
      <c r="H30" s="122"/>
      <c r="I30" s="122"/>
      <c r="J30" s="122"/>
      <c r="K30" s="122"/>
      <c r="L30" s="122"/>
      <c r="M30" s="122"/>
      <c r="N30" s="125">
        <v>4</v>
      </c>
      <c r="O30" t="s">
        <v>169</v>
      </c>
    </row>
    <row r="31" spans="1:15" x14ac:dyDescent="0.2">
      <c r="F31" s="122"/>
      <c r="G31" s="122"/>
      <c r="H31" s="122"/>
      <c r="I31" s="122"/>
      <c r="J31" s="122"/>
      <c r="K31" s="122"/>
      <c r="L31" s="122"/>
      <c r="M31" s="122"/>
      <c r="O31" t="s">
        <v>170</v>
      </c>
    </row>
    <row r="32" spans="1:15" x14ac:dyDescent="0.2">
      <c r="O32" t="s">
        <v>171</v>
      </c>
    </row>
    <row r="33" spans="1:13" x14ac:dyDescent="0.2">
      <c r="A33" s="267" t="s">
        <v>209</v>
      </c>
      <c r="B33" s="267"/>
      <c r="C33" s="267"/>
      <c r="D33" s="267"/>
      <c r="E33" s="145"/>
      <c r="F33" s="113" t="s">
        <v>3</v>
      </c>
      <c r="G33" s="113" t="s">
        <v>3</v>
      </c>
      <c r="H33" s="113" t="s">
        <v>3</v>
      </c>
      <c r="I33" s="113" t="s">
        <v>3</v>
      </c>
      <c r="J33" s="113" t="s">
        <v>3</v>
      </c>
      <c r="K33" s="4" t="s">
        <v>4</v>
      </c>
      <c r="L33" s="4" t="s">
        <v>4</v>
      </c>
      <c r="M33" s="4" t="s">
        <v>4</v>
      </c>
    </row>
    <row r="34" spans="1:13" x14ac:dyDescent="0.2">
      <c r="A34" s="116" t="s">
        <v>6</v>
      </c>
      <c r="B34" s="116" t="s">
        <v>7</v>
      </c>
      <c r="C34" s="116" t="s">
        <v>8</v>
      </c>
      <c r="D34" s="116" t="s">
        <v>9</v>
      </c>
      <c r="E34" s="145" t="s">
        <v>143</v>
      </c>
      <c r="F34" s="117">
        <f t="shared" ref="F34:K34" si="7">F2</f>
        <v>2022</v>
      </c>
      <c r="G34" s="117">
        <f t="shared" si="7"/>
        <v>2021</v>
      </c>
      <c r="H34" s="117">
        <f t="shared" si="7"/>
        <v>2020</v>
      </c>
      <c r="I34" s="117">
        <f t="shared" si="7"/>
        <v>2019</v>
      </c>
      <c r="J34" s="117">
        <f t="shared" si="7"/>
        <v>2018</v>
      </c>
      <c r="K34" s="117">
        <f t="shared" si="7"/>
        <v>2017</v>
      </c>
      <c r="L34" s="117">
        <v>2016</v>
      </c>
      <c r="M34" s="117">
        <v>2015</v>
      </c>
    </row>
    <row r="35" spans="1:13" x14ac:dyDescent="0.2">
      <c r="A35" s="115" t="s">
        <v>56</v>
      </c>
      <c r="B35" t="s">
        <v>155</v>
      </c>
      <c r="C35" s="115"/>
      <c r="D35" s="115" t="s">
        <v>15</v>
      </c>
      <c r="E35" s="145">
        <v>68</v>
      </c>
      <c r="F35" s="119">
        <v>600</v>
      </c>
      <c r="G35" s="119">
        <v>600</v>
      </c>
      <c r="H35" s="119">
        <v>600</v>
      </c>
      <c r="I35" s="119">
        <v>600</v>
      </c>
      <c r="J35" s="119">
        <v>600</v>
      </c>
      <c r="K35" s="119">
        <v>600</v>
      </c>
      <c r="L35" s="119"/>
      <c r="M35" s="110">
        <v>0</v>
      </c>
    </row>
    <row r="36" spans="1:13" x14ac:dyDescent="0.2">
      <c r="A36" s="115" t="s">
        <v>156</v>
      </c>
      <c r="B36" t="s">
        <v>155</v>
      </c>
      <c r="C36" s="115"/>
      <c r="D36" s="115" t="s">
        <v>15</v>
      </c>
      <c r="E36" s="145"/>
      <c r="F36" s="119">
        <v>600</v>
      </c>
      <c r="G36" s="119">
        <v>600</v>
      </c>
      <c r="H36" s="119">
        <v>600</v>
      </c>
      <c r="I36" s="119">
        <v>600</v>
      </c>
      <c r="J36" s="119">
        <v>600</v>
      </c>
      <c r="K36" s="119">
        <v>600</v>
      </c>
      <c r="L36" s="119"/>
      <c r="M36" s="110">
        <v>0</v>
      </c>
    </row>
    <row r="37" spans="1:13" x14ac:dyDescent="0.2">
      <c r="A37" t="s">
        <v>63</v>
      </c>
      <c r="B37" t="s">
        <v>155</v>
      </c>
      <c r="D37" t="s">
        <v>15</v>
      </c>
      <c r="E37" s="146">
        <v>71</v>
      </c>
      <c r="F37" s="119">
        <v>50</v>
      </c>
      <c r="G37" s="119">
        <v>50</v>
      </c>
      <c r="H37" s="119">
        <v>50</v>
      </c>
      <c r="I37" s="119">
        <v>50</v>
      </c>
      <c r="J37" s="119">
        <v>50</v>
      </c>
      <c r="K37" s="119">
        <v>50</v>
      </c>
      <c r="L37" s="119"/>
      <c r="M37" s="110">
        <v>0</v>
      </c>
    </row>
    <row r="38" spans="1:13" x14ac:dyDescent="0.2">
      <c r="A38" t="s">
        <v>64</v>
      </c>
      <c r="B38" t="s">
        <v>155</v>
      </c>
      <c r="D38" t="s">
        <v>15</v>
      </c>
      <c r="E38" s="146">
        <v>72</v>
      </c>
      <c r="F38" s="119">
        <f>F24</f>
        <v>150</v>
      </c>
      <c r="G38" s="119">
        <f>G24</f>
        <v>100.37</v>
      </c>
      <c r="H38" s="119">
        <f>H24</f>
        <v>0</v>
      </c>
      <c r="I38" s="119">
        <f>I24</f>
        <v>442.22</v>
      </c>
      <c r="J38" s="119">
        <f>J24</f>
        <v>231.13</v>
      </c>
      <c r="K38" s="119">
        <v>226</v>
      </c>
      <c r="L38" s="119"/>
      <c r="M38" s="110">
        <v>0</v>
      </c>
    </row>
    <row r="39" spans="1:13" x14ac:dyDescent="0.2">
      <c r="A39" t="s">
        <v>228</v>
      </c>
      <c r="B39" t="s">
        <v>155</v>
      </c>
      <c r="D39" t="s">
        <v>15</v>
      </c>
      <c r="F39" s="240">
        <v>200</v>
      </c>
      <c r="G39" s="240">
        <v>200</v>
      </c>
      <c r="H39" s="240">
        <v>200</v>
      </c>
      <c r="I39" s="240">
        <v>200</v>
      </c>
      <c r="J39" s="240">
        <v>200</v>
      </c>
      <c r="K39" s="240">
        <v>200</v>
      </c>
      <c r="L39" s="119"/>
      <c r="M39" s="110">
        <v>0</v>
      </c>
    </row>
    <row r="40" spans="1:13" x14ac:dyDescent="0.2">
      <c r="A40" t="s">
        <v>229</v>
      </c>
      <c r="B40" t="s">
        <v>155</v>
      </c>
      <c r="D40" t="s">
        <v>15</v>
      </c>
      <c r="F40" s="240">
        <v>150</v>
      </c>
      <c r="G40" s="240">
        <v>150</v>
      </c>
      <c r="H40" s="240">
        <v>150</v>
      </c>
      <c r="I40" s="240">
        <v>150</v>
      </c>
      <c r="J40" s="240">
        <v>150</v>
      </c>
      <c r="K40" s="240">
        <v>150</v>
      </c>
      <c r="L40" s="119"/>
      <c r="M40" s="110">
        <v>0</v>
      </c>
    </row>
    <row r="41" spans="1:13" x14ac:dyDescent="0.2">
      <c r="A41" t="s">
        <v>63</v>
      </c>
      <c r="B41" t="s">
        <v>155</v>
      </c>
      <c r="D41" t="s">
        <v>76</v>
      </c>
      <c r="E41" s="146">
        <v>23</v>
      </c>
      <c r="F41" s="119">
        <v>0</v>
      </c>
      <c r="G41" s="119">
        <v>0</v>
      </c>
      <c r="H41" s="119">
        <v>0</v>
      </c>
      <c r="I41" s="119">
        <v>0</v>
      </c>
      <c r="J41" s="119">
        <v>0</v>
      </c>
      <c r="K41" s="119">
        <v>0</v>
      </c>
    </row>
    <row r="42" spans="1:13" x14ac:dyDescent="0.2">
      <c r="A42" t="s">
        <v>64</v>
      </c>
      <c r="B42" t="s">
        <v>155</v>
      </c>
      <c r="C42" t="s">
        <v>157</v>
      </c>
      <c r="D42" t="s">
        <v>76</v>
      </c>
      <c r="E42" s="146">
        <v>24</v>
      </c>
      <c r="F42" s="119">
        <v>0</v>
      </c>
      <c r="G42" s="119">
        <v>0</v>
      </c>
      <c r="H42" s="119">
        <v>0</v>
      </c>
      <c r="I42" s="119">
        <v>0</v>
      </c>
      <c r="J42" s="119">
        <v>0</v>
      </c>
      <c r="K42" s="119">
        <v>0</v>
      </c>
    </row>
    <row r="43" spans="1:13" x14ac:dyDescent="0.2">
      <c r="L43" s="69"/>
      <c r="M43" s="29">
        <f>SUM(M35:M38)</f>
        <v>0</v>
      </c>
    </row>
    <row r="44" spans="1:13" x14ac:dyDescent="0.2">
      <c r="L44" s="69"/>
      <c r="M44" s="29">
        <f>SUM(M39:M40)</f>
        <v>0</v>
      </c>
    </row>
    <row r="45" spans="1:13" x14ac:dyDescent="0.2">
      <c r="A45" t="s">
        <v>215</v>
      </c>
      <c r="F45" s="115">
        <f t="shared" ref="F45:K45" si="8">F35+F36+F37+F38+F39+F40</f>
        <v>1750</v>
      </c>
      <c r="G45" s="115">
        <f t="shared" si="8"/>
        <v>1700.37</v>
      </c>
      <c r="H45" s="115">
        <f t="shared" si="8"/>
        <v>1600</v>
      </c>
      <c r="I45" s="115">
        <f t="shared" si="8"/>
        <v>2042.22</v>
      </c>
      <c r="J45" s="115">
        <f t="shared" si="8"/>
        <v>1831.13</v>
      </c>
      <c r="K45" s="115">
        <f t="shared" si="8"/>
        <v>1826</v>
      </c>
      <c r="L45" s="69"/>
      <c r="M45" s="143">
        <f>+M44-M43</f>
        <v>0</v>
      </c>
    </row>
    <row r="46" spans="1:13" x14ac:dyDescent="0.2">
      <c r="A46" t="s">
        <v>216</v>
      </c>
      <c r="F46" s="115">
        <f t="shared" ref="F46:K46" si="9">F41</f>
        <v>0</v>
      </c>
      <c r="G46" s="115">
        <f t="shared" si="9"/>
        <v>0</v>
      </c>
      <c r="H46" s="115">
        <f t="shared" si="9"/>
        <v>0</v>
      </c>
      <c r="I46" s="115">
        <f t="shared" si="9"/>
        <v>0</v>
      </c>
      <c r="J46" s="115">
        <f t="shared" si="9"/>
        <v>0</v>
      </c>
      <c r="K46" s="115">
        <f t="shared" si="9"/>
        <v>0</v>
      </c>
    </row>
    <row r="47" spans="1:13" x14ac:dyDescent="0.2">
      <c r="A47" t="s">
        <v>217</v>
      </c>
      <c r="F47" s="69"/>
      <c r="G47" s="69"/>
      <c r="H47" s="69"/>
      <c r="I47" s="69"/>
      <c r="J47" s="69"/>
      <c r="K47" s="69"/>
    </row>
  </sheetData>
  <sheetProtection selectLockedCells="1" selectUnlockedCells="1"/>
  <customSheetViews>
    <customSheetView guid="{2689D123-C182-4EB2-AD12-2EBB4C48D466}">
      <selection activeCell="A35" sqref="A35:G37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  <customSheetView guid="{66341D55-D973-4BB5-9B70-DB158BEA4662}">
      <selection activeCell="A35" sqref="A35:G37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</customSheetViews>
  <mergeCells count="3">
    <mergeCell ref="A1:D1"/>
    <mergeCell ref="R1:T1"/>
    <mergeCell ref="A33:D33"/>
  </mergeCells>
  <phoneticPr fontId="9" type="noConversion"/>
  <pageMargins left="0.75" right="0.75" top="1" bottom="1" header="0.51180555555555551" footer="0.51180555555555551"/>
  <pageSetup firstPageNumber="0" orientation="landscape" r:id="rId1"/>
  <headerFooter alignWithMargins="0">
    <oddHeader>&amp;CRACE COMMITTEE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5"/>
  </sheetPr>
  <dimension ref="A1:U22"/>
  <sheetViews>
    <sheetView zoomScaleNormal="100" workbookViewId="0">
      <selection activeCell="F5" sqref="F5"/>
    </sheetView>
  </sheetViews>
  <sheetFormatPr defaultRowHeight="12.75" x14ac:dyDescent="0.2"/>
  <cols>
    <col min="1" max="1" width="21.5703125" customWidth="1"/>
    <col min="2" max="2" width="6.5703125" hidden="1" customWidth="1"/>
    <col min="3" max="3" width="11.140625" hidden="1" customWidth="1"/>
    <col min="4" max="4" width="16.42578125" customWidth="1"/>
    <col min="5" max="5" width="5.28515625" style="146" hidden="1" customWidth="1"/>
    <col min="6" max="11" width="14.42578125" style="69" customWidth="1"/>
    <col min="12" max="12" width="10.85546875" style="69" hidden="1" customWidth="1"/>
    <col min="13" max="13" width="10.85546875" style="69" bestFit="1" customWidth="1"/>
    <col min="14" max="14" width="10.85546875" style="69" hidden="1" customWidth="1"/>
    <col min="15" max="15" width="9.28515625" style="69" hidden="1" customWidth="1"/>
    <col min="16" max="18" width="9.28515625" hidden="1" customWidth="1"/>
    <col min="19" max="19" width="5.7109375" hidden="1" customWidth="1"/>
    <col min="20" max="20" width="9.28515625" hidden="1" customWidth="1"/>
    <col min="21" max="21" width="0" hidden="1" customWidth="1"/>
  </cols>
  <sheetData>
    <row r="1" spans="1:21" s="90" customFormat="1" ht="13.5" customHeight="1" x14ac:dyDescent="0.25">
      <c r="A1" s="265" t="s">
        <v>0</v>
      </c>
      <c r="B1" s="265"/>
      <c r="C1" s="265"/>
      <c r="D1" s="265"/>
      <c r="E1" s="147"/>
      <c r="F1" s="91" t="s">
        <v>3</v>
      </c>
      <c r="G1" s="4" t="s">
        <v>4</v>
      </c>
      <c r="H1" s="4" t="s">
        <v>4</v>
      </c>
      <c r="I1" s="4" t="s">
        <v>4</v>
      </c>
      <c r="J1" s="4" t="s">
        <v>4</v>
      </c>
      <c r="K1" s="4" t="s">
        <v>4</v>
      </c>
      <c r="L1" s="91" t="s">
        <v>3</v>
      </c>
      <c r="M1" s="4" t="s">
        <v>4</v>
      </c>
      <c r="N1" s="4" t="s">
        <v>4</v>
      </c>
      <c r="O1" s="91" t="s">
        <v>4</v>
      </c>
      <c r="P1" s="91" t="s">
        <v>4</v>
      </c>
      <c r="Q1" s="92" t="s">
        <v>4</v>
      </c>
      <c r="R1" s="91" t="s">
        <v>4</v>
      </c>
      <c r="S1" s="270" t="s">
        <v>5</v>
      </c>
      <c r="T1" s="270"/>
      <c r="U1" s="270"/>
    </row>
    <row r="2" spans="1:21" s="90" customFormat="1" ht="13.5" customHeight="1" x14ac:dyDescent="0.25">
      <c r="A2" s="93" t="s">
        <v>6</v>
      </c>
      <c r="B2" s="93" t="s">
        <v>7</v>
      </c>
      <c r="C2" s="93" t="s">
        <v>8</v>
      </c>
      <c r="D2" s="93" t="s">
        <v>9</v>
      </c>
      <c r="E2" s="147" t="s">
        <v>143</v>
      </c>
      <c r="F2" s="94">
        <v>2022</v>
      </c>
      <c r="G2" s="94">
        <v>2021</v>
      </c>
      <c r="H2" s="94">
        <v>2020</v>
      </c>
      <c r="I2" s="94">
        <v>2019</v>
      </c>
      <c r="J2" s="94">
        <v>2018</v>
      </c>
      <c r="K2" s="94">
        <v>2017</v>
      </c>
      <c r="L2" s="94">
        <v>2016</v>
      </c>
      <c r="M2" s="94">
        <v>2016</v>
      </c>
      <c r="N2" s="94">
        <v>2015</v>
      </c>
      <c r="O2" s="94">
        <v>2014</v>
      </c>
      <c r="P2" s="94">
        <v>2013</v>
      </c>
      <c r="Q2" s="95">
        <v>2012</v>
      </c>
      <c r="R2" s="94">
        <v>2011</v>
      </c>
      <c r="S2" s="95">
        <v>2010</v>
      </c>
      <c r="T2" s="95">
        <v>2009</v>
      </c>
      <c r="U2" s="95">
        <v>2008</v>
      </c>
    </row>
    <row r="3" spans="1:21" s="198" customFormat="1" x14ac:dyDescent="0.2">
      <c r="A3" s="218" t="s">
        <v>172</v>
      </c>
      <c r="B3" s="218" t="s">
        <v>173</v>
      </c>
      <c r="C3" s="218"/>
      <c r="D3" s="218" t="s">
        <v>15</v>
      </c>
      <c r="E3" s="219">
        <v>73</v>
      </c>
      <c r="F3" s="211">
        <v>0</v>
      </c>
      <c r="G3" s="211">
        <v>0</v>
      </c>
      <c r="H3" s="211">
        <v>0</v>
      </c>
      <c r="I3" s="211">
        <v>0</v>
      </c>
      <c r="J3" s="211">
        <v>0</v>
      </c>
      <c r="K3" s="211">
        <v>735.3</v>
      </c>
      <c r="L3" s="211">
        <v>0</v>
      </c>
      <c r="M3" s="211">
        <f>+M15</f>
        <v>0</v>
      </c>
      <c r="N3" s="211">
        <f>+N15</f>
        <v>0</v>
      </c>
      <c r="O3" s="211"/>
      <c r="P3" s="211"/>
      <c r="Q3" s="211"/>
      <c r="R3" s="211"/>
      <c r="S3" s="211"/>
      <c r="T3" s="211"/>
      <c r="U3" s="211"/>
    </row>
    <row r="4" spans="1:21" s="198" customFormat="1" x14ac:dyDescent="0.2">
      <c r="A4" s="218" t="s">
        <v>66</v>
      </c>
      <c r="B4" s="218" t="s">
        <v>173</v>
      </c>
      <c r="C4" s="218"/>
      <c r="D4" s="218" t="s">
        <v>15</v>
      </c>
      <c r="E4" s="219">
        <v>74</v>
      </c>
      <c r="F4" s="211">
        <v>0</v>
      </c>
      <c r="G4" s="211">
        <v>0</v>
      </c>
      <c r="H4" s="211">
        <v>0</v>
      </c>
      <c r="I4" s="211">
        <v>0</v>
      </c>
      <c r="J4" s="211">
        <v>50</v>
      </c>
      <c r="K4" s="211">
        <v>203</v>
      </c>
      <c r="L4" s="211">
        <v>0</v>
      </c>
      <c r="M4" s="211">
        <f>1151.78+M16</f>
        <v>1151.78</v>
      </c>
      <c r="N4" s="211">
        <f>1151.78+N16</f>
        <v>1151.78</v>
      </c>
      <c r="O4" s="211">
        <v>52.7</v>
      </c>
      <c r="P4" s="211">
        <v>606.26</v>
      </c>
      <c r="Q4" s="211">
        <v>299.12</v>
      </c>
      <c r="R4" s="211">
        <v>399.74</v>
      </c>
      <c r="S4" s="211"/>
      <c r="T4" s="211">
        <v>370</v>
      </c>
      <c r="U4" s="211"/>
    </row>
    <row r="5" spans="1:21" s="198" customFormat="1" ht="13.5" thickBot="1" x14ac:dyDescent="0.25">
      <c r="A5" s="218" t="s">
        <v>68</v>
      </c>
      <c r="B5" s="218" t="s">
        <v>173</v>
      </c>
      <c r="C5" s="218"/>
      <c r="D5" s="218" t="s">
        <v>15</v>
      </c>
      <c r="E5" s="219">
        <v>75</v>
      </c>
      <c r="F5" s="211">
        <v>1000</v>
      </c>
      <c r="G5" s="211">
        <v>0</v>
      </c>
      <c r="H5" s="211">
        <v>0</v>
      </c>
      <c r="I5" s="211">
        <v>1014</v>
      </c>
      <c r="J5" s="211">
        <v>808.21</v>
      </c>
      <c r="K5" s="211">
        <v>532.29999999999995</v>
      </c>
      <c r="L5" s="211">
        <v>0</v>
      </c>
      <c r="M5" s="211">
        <f>506.76+M17</f>
        <v>506.76</v>
      </c>
      <c r="N5" s="211">
        <f>506.76+N17</f>
        <v>506.76</v>
      </c>
      <c r="O5" s="211">
        <v>352.36</v>
      </c>
      <c r="P5" s="211">
        <v>115</v>
      </c>
      <c r="Q5" s="211">
        <v>16.13</v>
      </c>
      <c r="R5" s="211">
        <v>107.21</v>
      </c>
      <c r="S5" s="211"/>
      <c r="T5" s="211">
        <v>16</v>
      </c>
      <c r="U5" s="211">
        <v>30</v>
      </c>
    </row>
    <row r="6" spans="1:21" s="203" customFormat="1" ht="13.5" thickTop="1" x14ac:dyDescent="0.2">
      <c r="A6" s="200" t="s">
        <v>174</v>
      </c>
      <c r="B6" s="200" t="s">
        <v>173</v>
      </c>
      <c r="C6" s="200"/>
      <c r="D6" s="200" t="s">
        <v>76</v>
      </c>
      <c r="E6" s="201"/>
      <c r="F6" s="221">
        <v>0</v>
      </c>
      <c r="G6" s="221">
        <v>0</v>
      </c>
      <c r="H6" s="221">
        <v>0</v>
      </c>
      <c r="I6" s="221">
        <v>918</v>
      </c>
      <c r="J6" s="221">
        <f>+J18</f>
        <v>0</v>
      </c>
      <c r="K6" s="221">
        <v>60</v>
      </c>
      <c r="L6" s="221">
        <f>+L18</f>
        <v>0</v>
      </c>
      <c r="M6" s="221">
        <f>+M18</f>
        <v>0</v>
      </c>
      <c r="N6" s="221">
        <f>+N18</f>
        <v>0</v>
      </c>
      <c r="O6" s="221">
        <v>0</v>
      </c>
      <c r="P6" s="221"/>
      <c r="Q6" s="221"/>
      <c r="R6" s="221"/>
      <c r="S6" s="221"/>
      <c r="T6" s="221"/>
      <c r="U6" s="221"/>
    </row>
    <row r="7" spans="1:21" x14ac:dyDescent="0.2">
      <c r="A7" s="13" t="s">
        <v>149</v>
      </c>
      <c r="F7" s="29">
        <f t="shared" ref="F7:K7" si="0">+F9+F8</f>
        <v>-1000</v>
      </c>
      <c r="G7" s="29">
        <f t="shared" si="0"/>
        <v>0</v>
      </c>
      <c r="H7" s="29">
        <f t="shared" si="0"/>
        <v>0</v>
      </c>
      <c r="I7" s="29">
        <f t="shared" si="0"/>
        <v>-96</v>
      </c>
      <c r="J7" s="29">
        <f t="shared" si="0"/>
        <v>-858.21</v>
      </c>
      <c r="K7" s="29">
        <f t="shared" si="0"/>
        <v>-1410.6</v>
      </c>
      <c r="L7" s="29">
        <f t="shared" ref="L7:U7" si="1">+L9+L8</f>
        <v>0</v>
      </c>
      <c r="M7" s="29">
        <f>+M9+M8</f>
        <v>-1658.54</v>
      </c>
      <c r="N7" s="29">
        <f>+N9+N8</f>
        <v>-1658.54</v>
      </c>
      <c r="O7" s="29">
        <f t="shared" si="1"/>
        <v>-405.06</v>
      </c>
      <c r="P7" s="29">
        <f t="shared" si="1"/>
        <v>-721.26</v>
      </c>
      <c r="Q7" s="29">
        <f t="shared" si="1"/>
        <v>-315.25</v>
      </c>
      <c r="R7" s="29">
        <f t="shared" si="1"/>
        <v>-506.95</v>
      </c>
      <c r="S7" s="29">
        <f t="shared" si="1"/>
        <v>0</v>
      </c>
      <c r="T7" s="29">
        <f t="shared" si="1"/>
        <v>-386</v>
      </c>
      <c r="U7" s="29">
        <f t="shared" si="1"/>
        <v>-30</v>
      </c>
    </row>
    <row r="8" spans="1:21" x14ac:dyDescent="0.2">
      <c r="A8" s="13" t="s">
        <v>75</v>
      </c>
      <c r="F8" s="29">
        <f t="shared" ref="F8:K8" si="2">SUM(F6:F6)</f>
        <v>0</v>
      </c>
      <c r="G8" s="29">
        <f t="shared" si="2"/>
        <v>0</v>
      </c>
      <c r="H8" s="29">
        <f t="shared" si="2"/>
        <v>0</v>
      </c>
      <c r="I8" s="29">
        <f t="shared" si="2"/>
        <v>918</v>
      </c>
      <c r="J8" s="29">
        <f t="shared" si="2"/>
        <v>0</v>
      </c>
      <c r="K8" s="29">
        <f t="shared" si="2"/>
        <v>60</v>
      </c>
      <c r="L8" s="29">
        <f t="shared" ref="L8:U8" si="3">SUM(L6:L6)</f>
        <v>0</v>
      </c>
      <c r="M8" s="29">
        <f>SUM(M6:M6)</f>
        <v>0</v>
      </c>
      <c r="N8" s="29">
        <f>SUM(N6:N6)</f>
        <v>0</v>
      </c>
      <c r="O8" s="29">
        <f t="shared" si="3"/>
        <v>0</v>
      </c>
      <c r="P8" s="29">
        <f t="shared" si="3"/>
        <v>0</v>
      </c>
      <c r="Q8" s="29">
        <f t="shared" si="3"/>
        <v>0</v>
      </c>
      <c r="R8" s="29">
        <f t="shared" si="3"/>
        <v>0</v>
      </c>
      <c r="S8" s="29">
        <f t="shared" si="3"/>
        <v>0</v>
      </c>
      <c r="T8" s="29">
        <f t="shared" si="3"/>
        <v>0</v>
      </c>
      <c r="U8" s="29">
        <f t="shared" si="3"/>
        <v>0</v>
      </c>
    </row>
    <row r="9" spans="1:21" x14ac:dyDescent="0.2">
      <c r="A9" s="13" t="s">
        <v>14</v>
      </c>
      <c r="F9" s="29">
        <f t="shared" ref="F9:K9" si="4">-SUM(F3:F5)</f>
        <v>-1000</v>
      </c>
      <c r="G9" s="29">
        <f t="shared" si="4"/>
        <v>0</v>
      </c>
      <c r="H9" s="29">
        <f t="shared" si="4"/>
        <v>0</v>
      </c>
      <c r="I9" s="29">
        <f t="shared" si="4"/>
        <v>-1014</v>
      </c>
      <c r="J9" s="29">
        <f t="shared" si="4"/>
        <v>-858.21</v>
      </c>
      <c r="K9" s="29">
        <f t="shared" si="4"/>
        <v>-1470.6</v>
      </c>
      <c r="L9" s="29">
        <f t="shared" ref="L9:U9" si="5">-SUM(L3:L5)</f>
        <v>0</v>
      </c>
      <c r="M9" s="29">
        <f>-SUM(M3:M5)</f>
        <v>-1658.54</v>
      </c>
      <c r="N9" s="29">
        <f>-SUM(N3:N5)</f>
        <v>-1658.54</v>
      </c>
      <c r="O9" s="29">
        <f t="shared" si="5"/>
        <v>-405.06</v>
      </c>
      <c r="P9" s="29">
        <f t="shared" si="5"/>
        <v>-721.26</v>
      </c>
      <c r="Q9" s="29">
        <f t="shared" si="5"/>
        <v>-315.25</v>
      </c>
      <c r="R9" s="29">
        <f t="shared" si="5"/>
        <v>-506.95</v>
      </c>
      <c r="S9" s="29">
        <f t="shared" si="5"/>
        <v>0</v>
      </c>
      <c r="T9" s="29">
        <f t="shared" si="5"/>
        <v>-386</v>
      </c>
      <c r="U9" s="29">
        <f t="shared" si="5"/>
        <v>-30</v>
      </c>
    </row>
    <row r="13" spans="1:21" x14ac:dyDescent="0.2">
      <c r="A13" s="267" t="s">
        <v>209</v>
      </c>
      <c r="B13" s="267"/>
      <c r="C13" s="267"/>
      <c r="D13" s="267"/>
      <c r="E13" s="147"/>
      <c r="F13" s="113" t="s">
        <v>3</v>
      </c>
      <c r="G13" s="113" t="s">
        <v>3</v>
      </c>
      <c r="H13" s="113" t="s">
        <v>3</v>
      </c>
      <c r="I13" s="113" t="s">
        <v>3</v>
      </c>
      <c r="J13" s="113" t="s">
        <v>3</v>
      </c>
      <c r="K13" s="4" t="s">
        <v>4</v>
      </c>
      <c r="L13" s="113" t="s">
        <v>3</v>
      </c>
      <c r="M13" s="4" t="s">
        <v>4</v>
      </c>
      <c r="N13" s="4" t="s">
        <v>4</v>
      </c>
    </row>
    <row r="14" spans="1:21" x14ac:dyDescent="0.2">
      <c r="A14" s="93" t="s">
        <v>6</v>
      </c>
      <c r="B14" s="93" t="s">
        <v>7</v>
      </c>
      <c r="C14" s="93" t="s">
        <v>8</v>
      </c>
      <c r="D14" s="93" t="s">
        <v>9</v>
      </c>
      <c r="E14" s="147" t="s">
        <v>143</v>
      </c>
      <c r="F14" s="117">
        <f t="shared" ref="F14:K14" si="6">F2</f>
        <v>2022</v>
      </c>
      <c r="G14" s="117">
        <f t="shared" si="6"/>
        <v>2021</v>
      </c>
      <c r="H14" s="117">
        <f t="shared" si="6"/>
        <v>2020</v>
      </c>
      <c r="I14" s="117">
        <f t="shared" si="6"/>
        <v>2019</v>
      </c>
      <c r="J14" s="117">
        <f t="shared" si="6"/>
        <v>2018</v>
      </c>
      <c r="K14" s="117">
        <f t="shared" si="6"/>
        <v>2017</v>
      </c>
      <c r="L14" s="117">
        <v>2016</v>
      </c>
      <c r="M14" s="117">
        <v>2015</v>
      </c>
      <c r="N14" s="117">
        <v>2015</v>
      </c>
    </row>
    <row r="15" spans="1:21" x14ac:dyDescent="0.2">
      <c r="A15" s="90" t="s">
        <v>172</v>
      </c>
      <c r="B15" s="90" t="s">
        <v>173</v>
      </c>
      <c r="C15" s="90"/>
      <c r="D15" s="90" t="s">
        <v>15</v>
      </c>
      <c r="E15" s="147">
        <v>73</v>
      </c>
      <c r="F15" s="110">
        <v>0</v>
      </c>
      <c r="G15" s="110">
        <v>0</v>
      </c>
      <c r="H15" s="110">
        <v>0</v>
      </c>
      <c r="I15" s="110">
        <v>0</v>
      </c>
      <c r="J15" s="110">
        <v>0</v>
      </c>
      <c r="K15" s="110">
        <v>0</v>
      </c>
      <c r="L15" s="119">
        <v>50</v>
      </c>
      <c r="M15" s="110">
        <v>0</v>
      </c>
      <c r="N15" s="110">
        <v>0</v>
      </c>
    </row>
    <row r="16" spans="1:21" x14ac:dyDescent="0.2">
      <c r="A16" s="90" t="s">
        <v>66</v>
      </c>
      <c r="B16" s="90" t="s">
        <v>173</v>
      </c>
      <c r="C16" s="90"/>
      <c r="D16" s="90" t="s">
        <v>15</v>
      </c>
      <c r="E16" s="147">
        <v>74</v>
      </c>
      <c r="F16" s="110">
        <v>0</v>
      </c>
      <c r="G16" s="110">
        <v>0</v>
      </c>
      <c r="H16" s="110">
        <v>0</v>
      </c>
      <c r="I16" s="110">
        <v>0</v>
      </c>
      <c r="J16" s="110">
        <v>0</v>
      </c>
      <c r="K16" s="110">
        <v>0</v>
      </c>
      <c r="L16" s="119">
        <v>1000</v>
      </c>
      <c r="M16" s="110">
        <v>0</v>
      </c>
      <c r="N16" s="110">
        <v>0</v>
      </c>
    </row>
    <row r="17" spans="1:14" x14ac:dyDescent="0.2">
      <c r="A17" s="90" t="s">
        <v>68</v>
      </c>
      <c r="B17" s="90" t="s">
        <v>173</v>
      </c>
      <c r="C17" s="90"/>
      <c r="D17" s="90" t="s">
        <v>15</v>
      </c>
      <c r="E17" s="147">
        <v>75</v>
      </c>
      <c r="F17" s="110">
        <v>0</v>
      </c>
      <c r="G17" s="110">
        <v>0</v>
      </c>
      <c r="H17" s="110">
        <v>0</v>
      </c>
      <c r="I17" s="110">
        <v>0</v>
      </c>
      <c r="J17" s="110">
        <v>0</v>
      </c>
      <c r="K17" s="110">
        <v>0</v>
      </c>
      <c r="L17" s="119">
        <v>400</v>
      </c>
      <c r="M17" s="110">
        <v>0</v>
      </c>
      <c r="N17" s="110">
        <v>0</v>
      </c>
    </row>
    <row r="18" spans="1:14" x14ac:dyDescent="0.2">
      <c r="A18" s="90" t="s">
        <v>174</v>
      </c>
      <c r="B18" s="90" t="s">
        <v>173</v>
      </c>
      <c r="C18" s="90"/>
      <c r="D18" s="90" t="s">
        <v>76</v>
      </c>
      <c r="E18" s="147"/>
      <c r="F18" s="110">
        <v>0</v>
      </c>
      <c r="G18" s="110">
        <v>0</v>
      </c>
      <c r="H18" s="110">
        <v>0</v>
      </c>
      <c r="I18" s="110">
        <v>0</v>
      </c>
      <c r="J18" s="110">
        <v>0</v>
      </c>
      <c r="K18" s="110">
        <v>0</v>
      </c>
      <c r="L18" s="119">
        <v>0</v>
      </c>
      <c r="M18" s="110">
        <v>0</v>
      </c>
      <c r="N18" s="110">
        <v>0</v>
      </c>
    </row>
    <row r="20" spans="1:14" x14ac:dyDescent="0.2">
      <c r="A20" t="s">
        <v>215</v>
      </c>
      <c r="M20" s="29">
        <f>SUM(M15:M17)</f>
        <v>0</v>
      </c>
      <c r="N20" s="29">
        <f>SUM(N15:N17)</f>
        <v>0</v>
      </c>
    </row>
    <row r="21" spans="1:14" x14ac:dyDescent="0.2">
      <c r="A21" t="s">
        <v>216</v>
      </c>
      <c r="M21" s="29">
        <f>+M18</f>
        <v>0</v>
      </c>
      <c r="N21" s="29">
        <f>+N18</f>
        <v>0</v>
      </c>
    </row>
    <row r="22" spans="1:14" x14ac:dyDescent="0.2">
      <c r="A22" t="s">
        <v>217</v>
      </c>
      <c r="M22" s="143">
        <f>+M21-M20</f>
        <v>0</v>
      </c>
      <c r="N22" s="143">
        <f>+N21-N20</f>
        <v>0</v>
      </c>
    </row>
  </sheetData>
  <sheetProtection selectLockedCells="1" selectUnlockedCells="1"/>
  <customSheetViews>
    <customSheetView guid="{2689D123-C182-4EB2-AD12-2EBB4C48D466}">
      <selection activeCell="G4" sqref="G4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  <customSheetView guid="{66341D55-D973-4BB5-9B70-DB158BEA4662}">
      <selection activeCell="G4" sqref="G4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</customSheetViews>
  <mergeCells count="3">
    <mergeCell ref="A1:D1"/>
    <mergeCell ref="S1:U1"/>
    <mergeCell ref="A13:D13"/>
  </mergeCells>
  <phoneticPr fontId="9" type="noConversion"/>
  <pageMargins left="0.75" right="0.75" top="1" bottom="1" header="0.51180555555555551" footer="0.51180555555555551"/>
  <pageSetup firstPageNumber="0" orientation="landscape" r:id="rId1"/>
  <headerFooter alignWithMargins="0">
    <oddHeader>&amp;CTRAINING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22"/>
  </sheetPr>
  <dimension ref="A1:T26"/>
  <sheetViews>
    <sheetView zoomScaleNormal="100" workbookViewId="0">
      <selection activeCell="F3" sqref="F3"/>
    </sheetView>
  </sheetViews>
  <sheetFormatPr defaultRowHeight="12.75" x14ac:dyDescent="0.2"/>
  <cols>
    <col min="1" max="1" width="15.140625" customWidth="1"/>
    <col min="4" max="4" width="26" customWidth="1"/>
    <col min="5" max="5" width="5.28515625" style="146" hidden="1" customWidth="1"/>
    <col min="13" max="20" width="0" hidden="1" customWidth="1"/>
  </cols>
  <sheetData>
    <row r="1" spans="1:20" s="115" customFormat="1" ht="15" x14ac:dyDescent="0.25">
      <c r="A1" s="265" t="s">
        <v>0</v>
      </c>
      <c r="B1" s="265"/>
      <c r="C1" s="265"/>
      <c r="D1" s="265"/>
      <c r="E1" s="145"/>
      <c r="F1" s="113" t="s">
        <v>3</v>
      </c>
      <c r="G1" s="4" t="s">
        <v>4</v>
      </c>
      <c r="H1" s="4" t="s">
        <v>4</v>
      </c>
      <c r="I1" s="4" t="s">
        <v>4</v>
      </c>
      <c r="J1" s="4" t="s">
        <v>4</v>
      </c>
      <c r="K1" s="4" t="s">
        <v>4</v>
      </c>
      <c r="L1" s="4" t="s">
        <v>4</v>
      </c>
      <c r="M1" s="4" t="s">
        <v>4</v>
      </c>
      <c r="N1" s="113" t="s">
        <v>4</v>
      </c>
      <c r="O1" s="113" t="s">
        <v>4</v>
      </c>
      <c r="P1" s="114" t="s">
        <v>4</v>
      </c>
      <c r="Q1" s="113" t="s">
        <v>4</v>
      </c>
      <c r="R1" s="266" t="s">
        <v>5</v>
      </c>
      <c r="S1" s="266"/>
      <c r="T1" s="266"/>
    </row>
    <row r="2" spans="1:20" s="115" customFormat="1" ht="15" x14ac:dyDescent="0.25">
      <c r="A2" s="116" t="s">
        <v>6</v>
      </c>
      <c r="B2" s="116" t="s">
        <v>7</v>
      </c>
      <c r="C2" s="116" t="s">
        <v>8</v>
      </c>
      <c r="D2" s="116" t="s">
        <v>9</v>
      </c>
      <c r="E2" s="145" t="s">
        <v>143</v>
      </c>
      <c r="F2" s="117">
        <v>2022</v>
      </c>
      <c r="G2" s="117">
        <v>2021</v>
      </c>
      <c r="H2" s="117">
        <v>2020</v>
      </c>
      <c r="I2" s="117">
        <v>2019</v>
      </c>
      <c r="J2" s="117">
        <v>2018</v>
      </c>
      <c r="K2" s="117">
        <v>2017</v>
      </c>
      <c r="L2" s="117">
        <v>2016</v>
      </c>
      <c r="M2" s="117">
        <v>2015</v>
      </c>
      <c r="N2" s="117">
        <v>2014</v>
      </c>
      <c r="O2" s="117">
        <v>2013</v>
      </c>
      <c r="P2" s="108">
        <v>2012</v>
      </c>
      <c r="Q2" s="117">
        <v>2011</v>
      </c>
      <c r="R2" s="106">
        <v>2010</v>
      </c>
      <c r="S2" s="106">
        <v>2009</v>
      </c>
      <c r="T2" s="106">
        <v>2008</v>
      </c>
    </row>
    <row r="3" spans="1:20" s="198" customFormat="1" x14ac:dyDescent="0.2">
      <c r="A3" s="195" t="s">
        <v>32</v>
      </c>
      <c r="B3" s="195" t="s">
        <v>153</v>
      </c>
      <c r="C3" s="195"/>
      <c r="D3" s="195" t="s">
        <v>15</v>
      </c>
      <c r="E3" s="196">
        <v>64</v>
      </c>
      <c r="F3" s="197">
        <v>0</v>
      </c>
      <c r="G3" s="197">
        <v>0</v>
      </c>
      <c r="H3" s="197">
        <v>0</v>
      </c>
      <c r="I3" s="197">
        <v>0</v>
      </c>
      <c r="J3" s="197">
        <v>0</v>
      </c>
      <c r="K3" s="197">
        <v>0</v>
      </c>
      <c r="L3" s="197">
        <v>0</v>
      </c>
      <c r="M3" s="197">
        <f>+M18</f>
        <v>0</v>
      </c>
      <c r="N3" s="197">
        <v>0</v>
      </c>
      <c r="O3" s="197">
        <v>0</v>
      </c>
      <c r="P3" s="197">
        <v>37.93</v>
      </c>
    </row>
    <row r="4" spans="1:20" s="198" customFormat="1" x14ac:dyDescent="0.2">
      <c r="A4" s="254" t="s">
        <v>248</v>
      </c>
      <c r="B4" s="195" t="s">
        <v>153</v>
      </c>
      <c r="C4" s="195"/>
      <c r="D4" s="195" t="s">
        <v>15</v>
      </c>
      <c r="E4" s="196"/>
      <c r="F4" s="197">
        <v>0</v>
      </c>
      <c r="G4" s="197">
        <v>0</v>
      </c>
      <c r="H4" s="197">
        <v>0</v>
      </c>
      <c r="I4" s="197">
        <v>0</v>
      </c>
      <c r="J4" s="197">
        <v>40</v>
      </c>
      <c r="K4" s="197">
        <v>200</v>
      </c>
      <c r="L4" s="197">
        <v>40</v>
      </c>
      <c r="M4" s="197"/>
      <c r="N4" s="197"/>
      <c r="O4" s="197"/>
      <c r="P4" s="197"/>
    </row>
    <row r="5" spans="1:20" s="198" customFormat="1" ht="13.5" thickBot="1" x14ac:dyDescent="0.25">
      <c r="A5" s="195" t="s">
        <v>53</v>
      </c>
      <c r="B5" s="195" t="s">
        <v>153</v>
      </c>
      <c r="C5" s="195"/>
      <c r="D5" s="195" t="s">
        <v>15</v>
      </c>
      <c r="E5" s="196">
        <v>65</v>
      </c>
      <c r="F5" s="197">
        <v>0</v>
      </c>
      <c r="G5" s="197">
        <v>0</v>
      </c>
      <c r="H5" s="197">
        <v>0</v>
      </c>
      <c r="I5" s="197">
        <v>0</v>
      </c>
      <c r="J5" s="197">
        <v>0</v>
      </c>
      <c r="K5" s="197">
        <v>0</v>
      </c>
      <c r="L5" s="197">
        <v>0</v>
      </c>
      <c r="M5" s="197">
        <f>+M19</f>
        <v>0</v>
      </c>
      <c r="N5" s="197">
        <v>0</v>
      </c>
      <c r="O5" s="199">
        <v>27.25</v>
      </c>
      <c r="P5" s="197">
        <v>0</v>
      </c>
    </row>
    <row r="6" spans="1:20" s="203" customFormat="1" ht="13.5" thickTop="1" x14ac:dyDescent="0.2">
      <c r="A6" s="200" t="s">
        <v>32</v>
      </c>
      <c r="B6" s="200" t="s">
        <v>153</v>
      </c>
      <c r="C6" s="200"/>
      <c r="D6" s="200" t="s">
        <v>76</v>
      </c>
      <c r="E6" s="201">
        <v>63</v>
      </c>
      <c r="F6" s="202">
        <v>0</v>
      </c>
      <c r="G6" s="202">
        <v>0</v>
      </c>
      <c r="H6" s="202">
        <v>0</v>
      </c>
      <c r="I6" s="202">
        <v>0</v>
      </c>
      <c r="J6" s="202">
        <v>0</v>
      </c>
      <c r="K6" s="202">
        <v>0</v>
      </c>
      <c r="L6" s="202">
        <v>0</v>
      </c>
      <c r="M6" s="202">
        <f>+M20</f>
        <v>0</v>
      </c>
      <c r="N6" s="202">
        <v>0</v>
      </c>
      <c r="O6" s="202">
        <v>0</v>
      </c>
      <c r="P6" s="202"/>
    </row>
    <row r="7" spans="1:20" s="198" customFormat="1" x14ac:dyDescent="0.2">
      <c r="A7" s="195" t="s">
        <v>53</v>
      </c>
      <c r="B7" s="195" t="s">
        <v>153</v>
      </c>
      <c r="C7" s="195"/>
      <c r="D7" s="195" t="s">
        <v>76</v>
      </c>
      <c r="E7" s="196">
        <v>65</v>
      </c>
      <c r="F7" s="197">
        <v>0</v>
      </c>
      <c r="G7" s="197">
        <v>0</v>
      </c>
      <c r="H7" s="197">
        <v>0</v>
      </c>
      <c r="I7" s="197">
        <v>0</v>
      </c>
      <c r="J7" s="197">
        <v>0</v>
      </c>
      <c r="K7" s="197">
        <v>0</v>
      </c>
      <c r="L7" s="197">
        <v>0</v>
      </c>
      <c r="M7" s="197">
        <f>+M21</f>
        <v>0</v>
      </c>
      <c r="N7" s="197">
        <v>0</v>
      </c>
      <c r="O7" s="197">
        <v>0</v>
      </c>
      <c r="P7" s="197"/>
    </row>
    <row r="8" spans="1:20" x14ac:dyDescent="0.2">
      <c r="A8" s="13" t="s">
        <v>149</v>
      </c>
      <c r="F8" s="29">
        <f>+F10+F9</f>
        <v>0</v>
      </c>
      <c r="G8" s="29">
        <f>+G10+G9</f>
        <v>0</v>
      </c>
      <c r="H8" s="29">
        <f>+H10+H9</f>
        <v>0</v>
      </c>
      <c r="I8" s="29">
        <f>+I10+I9</f>
        <v>0</v>
      </c>
      <c r="J8" s="29">
        <f>+J10+J9</f>
        <v>-40</v>
      </c>
      <c r="K8" s="29">
        <f t="shared" ref="K8:P8" si="0">+K10+K9</f>
        <v>-200</v>
      </c>
      <c r="L8" s="29">
        <f t="shared" si="0"/>
        <v>-40</v>
      </c>
      <c r="M8" s="29">
        <f t="shared" si="0"/>
        <v>0</v>
      </c>
      <c r="N8" s="29">
        <f t="shared" si="0"/>
        <v>0</v>
      </c>
      <c r="O8" s="29">
        <f t="shared" si="0"/>
        <v>-27.25</v>
      </c>
      <c r="P8" s="29">
        <f t="shared" si="0"/>
        <v>-37.93</v>
      </c>
    </row>
    <row r="9" spans="1:20" x14ac:dyDescent="0.2">
      <c r="A9" s="13" t="s">
        <v>75</v>
      </c>
      <c r="F9" s="29">
        <f>-SUM(F6:F7)</f>
        <v>0</v>
      </c>
      <c r="G9" s="29">
        <f>-SUM(G6:G7)</f>
        <v>0</v>
      </c>
      <c r="H9" s="29">
        <f>-SUM(H6:H7)</f>
        <v>0</v>
      </c>
      <c r="I9" s="29">
        <f>-SUM(I6:I7)</f>
        <v>0</v>
      </c>
      <c r="J9" s="29">
        <f>-SUM(J6:J7)</f>
        <v>0</v>
      </c>
      <c r="K9" s="29">
        <f t="shared" ref="K9:P9" si="1">-SUM(K6:K7)</f>
        <v>0</v>
      </c>
      <c r="L9" s="29">
        <f t="shared" si="1"/>
        <v>0</v>
      </c>
      <c r="M9" s="29">
        <f t="shared" si="1"/>
        <v>0</v>
      </c>
      <c r="N9" s="29">
        <f t="shared" si="1"/>
        <v>0</v>
      </c>
      <c r="O9" s="29">
        <f t="shared" si="1"/>
        <v>0</v>
      </c>
      <c r="P9" s="29">
        <f t="shared" si="1"/>
        <v>0</v>
      </c>
    </row>
    <row r="10" spans="1:20" x14ac:dyDescent="0.2">
      <c r="A10" s="13" t="s">
        <v>14</v>
      </c>
      <c r="F10" s="29">
        <f>-SUM(F3:F5)</f>
        <v>0</v>
      </c>
      <c r="G10" s="29">
        <f>-SUM(G3:G5)</f>
        <v>0</v>
      </c>
      <c r="H10" s="29">
        <f>-SUM(H3:H5)</f>
        <v>0</v>
      </c>
      <c r="I10" s="29">
        <f>-SUM(I3:I5)</f>
        <v>0</v>
      </c>
      <c r="J10" s="29">
        <f>-SUM(J3:J5)</f>
        <v>-40</v>
      </c>
      <c r="K10" s="29">
        <f t="shared" ref="K10:P10" si="2">-SUM(K3:K5)</f>
        <v>-200</v>
      </c>
      <c r="L10" s="29">
        <f t="shared" si="2"/>
        <v>-40</v>
      </c>
      <c r="M10" s="29">
        <f t="shared" si="2"/>
        <v>0</v>
      </c>
      <c r="N10" s="29">
        <f t="shared" si="2"/>
        <v>0</v>
      </c>
      <c r="O10" s="29">
        <f t="shared" si="2"/>
        <v>-27.25</v>
      </c>
      <c r="P10" s="29">
        <f t="shared" si="2"/>
        <v>-37.93</v>
      </c>
    </row>
    <row r="13" spans="1:20" x14ac:dyDescent="0.2">
      <c r="A13" t="s">
        <v>154</v>
      </c>
    </row>
    <row r="16" spans="1:20" x14ac:dyDescent="0.2">
      <c r="A16" s="267" t="s">
        <v>209</v>
      </c>
      <c r="B16" s="267"/>
      <c r="C16" s="267"/>
      <c r="D16" s="267"/>
      <c r="E16" s="145"/>
      <c r="F16" s="113" t="s">
        <v>3</v>
      </c>
      <c r="G16" s="113" t="s">
        <v>3</v>
      </c>
      <c r="H16" s="113" t="s">
        <v>3</v>
      </c>
      <c r="I16" s="113" t="s">
        <v>3</v>
      </c>
      <c r="J16" s="113" t="s">
        <v>3</v>
      </c>
      <c r="K16" s="4" t="s">
        <v>4</v>
      </c>
      <c r="L16" s="4" t="s">
        <v>4</v>
      </c>
      <c r="M16" s="4" t="s">
        <v>4</v>
      </c>
    </row>
    <row r="17" spans="1:13" x14ac:dyDescent="0.2">
      <c r="A17" s="116" t="s">
        <v>6</v>
      </c>
      <c r="B17" s="116" t="s">
        <v>7</v>
      </c>
      <c r="C17" s="116" t="s">
        <v>8</v>
      </c>
      <c r="D17" s="116" t="s">
        <v>9</v>
      </c>
      <c r="E17" s="145" t="s">
        <v>143</v>
      </c>
      <c r="F17" s="117">
        <f t="shared" ref="F17:K17" si="3">F2</f>
        <v>2022</v>
      </c>
      <c r="G17" s="117">
        <f t="shared" si="3"/>
        <v>2021</v>
      </c>
      <c r="H17" s="117">
        <f t="shared" si="3"/>
        <v>2020</v>
      </c>
      <c r="I17" s="117">
        <f t="shared" si="3"/>
        <v>2019</v>
      </c>
      <c r="J17" s="117">
        <f t="shared" si="3"/>
        <v>2018</v>
      </c>
      <c r="K17" s="117">
        <f t="shared" si="3"/>
        <v>2017</v>
      </c>
      <c r="L17" s="117">
        <v>2016</v>
      </c>
      <c r="M17" s="117">
        <v>2015</v>
      </c>
    </row>
    <row r="18" spans="1:13" x14ac:dyDescent="0.2">
      <c r="A18" s="115" t="s">
        <v>32</v>
      </c>
      <c r="B18" s="115" t="s">
        <v>153</v>
      </c>
      <c r="C18" s="115"/>
      <c r="D18" s="115" t="s">
        <v>15</v>
      </c>
      <c r="E18" s="145">
        <v>64</v>
      </c>
      <c r="F18" s="119">
        <v>0</v>
      </c>
      <c r="G18" s="119">
        <v>0</v>
      </c>
      <c r="H18" s="119">
        <v>0</v>
      </c>
      <c r="I18" s="119">
        <v>40</v>
      </c>
      <c r="J18" s="119">
        <v>40</v>
      </c>
      <c r="K18" s="119">
        <v>200</v>
      </c>
      <c r="L18" s="119"/>
      <c r="M18" s="110">
        <v>0</v>
      </c>
    </row>
    <row r="19" spans="1:13" x14ac:dyDescent="0.2">
      <c r="A19" s="115" t="s">
        <v>53</v>
      </c>
      <c r="B19" s="115" t="s">
        <v>153</v>
      </c>
      <c r="C19" s="115"/>
      <c r="D19" s="115" t="s">
        <v>15</v>
      </c>
      <c r="E19" s="145">
        <v>65</v>
      </c>
      <c r="F19" s="119">
        <v>0</v>
      </c>
      <c r="G19" s="119">
        <v>0</v>
      </c>
      <c r="H19" s="119">
        <v>0</v>
      </c>
      <c r="I19" s="119">
        <v>0</v>
      </c>
      <c r="J19" s="119">
        <v>0</v>
      </c>
      <c r="K19" s="119">
        <v>0</v>
      </c>
      <c r="L19" s="119"/>
      <c r="M19" s="110">
        <v>0</v>
      </c>
    </row>
    <row r="20" spans="1:13" x14ac:dyDescent="0.2">
      <c r="A20" s="115" t="s">
        <v>32</v>
      </c>
      <c r="B20" s="115" t="s">
        <v>153</v>
      </c>
      <c r="C20" s="115"/>
      <c r="D20" s="115" t="s">
        <v>76</v>
      </c>
      <c r="E20" s="145">
        <v>63</v>
      </c>
      <c r="F20" s="119">
        <v>0</v>
      </c>
      <c r="G20" s="119">
        <v>0</v>
      </c>
      <c r="H20" s="119">
        <v>0</v>
      </c>
      <c r="I20" s="119">
        <v>0</v>
      </c>
      <c r="J20" s="119">
        <v>0</v>
      </c>
      <c r="K20" s="119">
        <v>0</v>
      </c>
      <c r="L20" s="119"/>
      <c r="M20" s="110">
        <v>0</v>
      </c>
    </row>
    <row r="21" spans="1:13" x14ac:dyDescent="0.2">
      <c r="A21" s="115" t="s">
        <v>53</v>
      </c>
      <c r="B21" s="115" t="s">
        <v>153</v>
      </c>
      <c r="C21" s="115"/>
      <c r="D21" s="115" t="s">
        <v>76</v>
      </c>
      <c r="E21" s="145">
        <v>65</v>
      </c>
      <c r="F21" s="119">
        <v>0</v>
      </c>
      <c r="G21" s="119">
        <v>0</v>
      </c>
      <c r="H21" s="119">
        <v>0</v>
      </c>
      <c r="I21" s="119">
        <v>0</v>
      </c>
      <c r="J21" s="119">
        <v>0</v>
      </c>
      <c r="K21" s="119">
        <v>0</v>
      </c>
      <c r="L21" s="119"/>
      <c r="M21" s="110">
        <v>0</v>
      </c>
    </row>
    <row r="24" spans="1:13" x14ac:dyDescent="0.2">
      <c r="A24" t="s">
        <v>215</v>
      </c>
      <c r="F24" s="69"/>
      <c r="G24" s="69"/>
      <c r="H24" s="69"/>
      <c r="I24" s="69"/>
      <c r="J24" s="69"/>
      <c r="K24" s="69"/>
      <c r="L24" s="69"/>
      <c r="M24" s="29">
        <f>SUM(M18:M19)</f>
        <v>0</v>
      </c>
    </row>
    <row r="25" spans="1:13" x14ac:dyDescent="0.2">
      <c r="A25" t="s">
        <v>216</v>
      </c>
      <c r="F25" s="69"/>
      <c r="G25" s="69"/>
      <c r="H25" s="69"/>
      <c r="I25" s="69"/>
      <c r="J25" s="69"/>
      <c r="K25" s="69"/>
      <c r="L25" s="69"/>
      <c r="M25" s="29">
        <f>SUM(M20:M21)</f>
        <v>0</v>
      </c>
    </row>
    <row r="26" spans="1:13" x14ac:dyDescent="0.2">
      <c r="A26" t="s">
        <v>217</v>
      </c>
      <c r="F26" s="69"/>
      <c r="G26" s="69"/>
      <c r="H26" s="69"/>
      <c r="I26" s="69"/>
      <c r="J26" s="69"/>
      <c r="K26" s="69"/>
      <c r="L26" s="69"/>
      <c r="M26" s="143">
        <f>+M25-M24</f>
        <v>0</v>
      </c>
    </row>
  </sheetData>
  <sheetProtection selectLockedCells="1" selectUnlockedCells="1"/>
  <customSheetViews>
    <customSheetView guid="{2689D123-C182-4EB2-AD12-2EBB4C48D466}">
      <selection activeCell="A23" sqref="A23:G25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  <customSheetView guid="{66341D55-D973-4BB5-9B70-DB158BEA4662}">
      <selection activeCell="A23" sqref="A23:G25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</customSheetViews>
  <mergeCells count="3">
    <mergeCell ref="A1:D1"/>
    <mergeCell ref="R1:T1"/>
    <mergeCell ref="A16:D16"/>
  </mergeCells>
  <phoneticPr fontId="9" type="noConversion"/>
  <pageMargins left="0.75" right="0.75" top="1" bottom="1" header="0.51180555555555551" footer="0.51180555555555551"/>
  <pageSetup firstPageNumber="0" orientation="landscape" r:id="rId1"/>
  <headerFooter alignWithMargins="0">
    <oddHeader>&amp;CPOWER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45"/>
  </sheetPr>
  <dimension ref="A1:T21"/>
  <sheetViews>
    <sheetView zoomScaleNormal="100" workbookViewId="0">
      <selection activeCell="V19" sqref="V19"/>
    </sheetView>
  </sheetViews>
  <sheetFormatPr defaultRowHeight="12.75" x14ac:dyDescent="0.2"/>
  <cols>
    <col min="1" max="1" width="23.85546875" customWidth="1"/>
    <col min="2" max="2" width="7.28515625" hidden="1" customWidth="1"/>
    <col min="3" max="3" width="21.85546875" hidden="1" customWidth="1"/>
    <col min="4" max="4" width="15.42578125" bestFit="1" customWidth="1"/>
    <col min="5" max="5" width="5.28515625" style="146" hidden="1" customWidth="1"/>
    <col min="6" max="11" width="12.140625" customWidth="1"/>
    <col min="12" max="12" width="9.28515625" bestFit="1" customWidth="1"/>
    <col min="13" max="13" width="9.28515625" hidden="1" customWidth="1"/>
    <col min="14" max="14" width="11" hidden="1" customWidth="1"/>
    <col min="15" max="18" width="9.28515625" hidden="1" customWidth="1"/>
    <col min="19" max="20" width="11" hidden="1" customWidth="1"/>
  </cols>
  <sheetData>
    <row r="1" spans="1:20" s="115" customFormat="1" ht="13.5" customHeight="1" x14ac:dyDescent="0.25">
      <c r="A1" s="265" t="s">
        <v>0</v>
      </c>
      <c r="B1" s="265"/>
      <c r="C1" s="265"/>
      <c r="D1" s="265"/>
      <c r="E1" s="145"/>
      <c r="F1" s="113" t="s">
        <v>3</v>
      </c>
      <c r="G1" s="4" t="s">
        <v>4</v>
      </c>
      <c r="H1" s="4" t="s">
        <v>4</v>
      </c>
      <c r="I1" s="4" t="s">
        <v>4</v>
      </c>
      <c r="J1" s="4" t="s">
        <v>4</v>
      </c>
      <c r="K1" s="4" t="s">
        <v>4</v>
      </c>
      <c r="L1" s="4" t="s">
        <v>4</v>
      </c>
      <c r="M1" s="4" t="s">
        <v>4</v>
      </c>
      <c r="N1" s="113" t="s">
        <v>4</v>
      </c>
      <c r="O1" s="113" t="s">
        <v>4</v>
      </c>
      <c r="P1" s="114" t="s">
        <v>4</v>
      </c>
      <c r="Q1" s="113" t="s">
        <v>4</v>
      </c>
      <c r="R1" s="266" t="s">
        <v>5</v>
      </c>
      <c r="S1" s="266"/>
      <c r="T1" s="266"/>
    </row>
    <row r="2" spans="1:20" s="115" customFormat="1" ht="13.5" customHeight="1" x14ac:dyDescent="0.25">
      <c r="A2" s="116" t="s">
        <v>6</v>
      </c>
      <c r="B2" s="116" t="s">
        <v>7</v>
      </c>
      <c r="C2" s="116" t="s">
        <v>8</v>
      </c>
      <c r="D2" s="116" t="s">
        <v>9</v>
      </c>
      <c r="E2" s="145" t="s">
        <v>143</v>
      </c>
      <c r="F2" s="117">
        <v>2022</v>
      </c>
      <c r="G2" s="117">
        <v>2021</v>
      </c>
      <c r="H2" s="117">
        <v>2020</v>
      </c>
      <c r="I2" s="117">
        <v>2019</v>
      </c>
      <c r="J2" s="117">
        <v>2018</v>
      </c>
      <c r="K2" s="117">
        <v>2017</v>
      </c>
      <c r="L2" s="117">
        <v>2016</v>
      </c>
      <c r="M2" s="117">
        <v>2015</v>
      </c>
      <c r="N2" s="117">
        <v>2014</v>
      </c>
      <c r="O2" s="117">
        <v>2013</v>
      </c>
      <c r="P2" s="108">
        <v>2012</v>
      </c>
      <c r="Q2" s="117">
        <v>2011</v>
      </c>
      <c r="R2" s="106">
        <v>2010</v>
      </c>
      <c r="S2" s="106">
        <v>2009</v>
      </c>
      <c r="T2" s="106">
        <v>2008</v>
      </c>
    </row>
    <row r="3" spans="1:20" s="198" customFormat="1" ht="13.5" thickBot="1" x14ac:dyDescent="0.25">
      <c r="A3" s="218" t="s">
        <v>59</v>
      </c>
      <c r="B3" s="218" t="s">
        <v>60</v>
      </c>
      <c r="C3" s="218"/>
      <c r="D3" s="218" t="s">
        <v>15</v>
      </c>
      <c r="E3" s="219">
        <v>69</v>
      </c>
      <c r="F3" s="272">
        <v>200</v>
      </c>
      <c r="G3" s="272">
        <v>171</v>
      </c>
      <c r="H3" s="211">
        <v>0</v>
      </c>
      <c r="I3" s="211">
        <v>164</v>
      </c>
      <c r="J3" s="211">
        <v>35</v>
      </c>
      <c r="K3" s="211">
        <v>324.77999999999997</v>
      </c>
      <c r="L3" s="211">
        <v>318.85000000000002</v>
      </c>
      <c r="M3" s="211">
        <f>113.75+M14</f>
        <v>113.75</v>
      </c>
      <c r="N3" s="220">
        <v>199</v>
      </c>
      <c r="O3" s="220">
        <v>227</v>
      </c>
      <c r="P3" s="211">
        <v>156.19999999999999</v>
      </c>
      <c r="Q3" s="211">
        <v>101.77</v>
      </c>
      <c r="R3" s="211">
        <v>198</v>
      </c>
      <c r="S3" s="211">
        <v>102</v>
      </c>
      <c r="T3" s="211">
        <v>6</v>
      </c>
    </row>
    <row r="4" spans="1:20" s="203" customFormat="1" ht="13.5" thickTop="1" x14ac:dyDescent="0.2">
      <c r="A4" s="200" t="s">
        <v>97</v>
      </c>
      <c r="B4" s="200" t="s">
        <v>60</v>
      </c>
      <c r="C4" s="200" t="s">
        <v>98</v>
      </c>
      <c r="D4" s="200" t="s">
        <v>76</v>
      </c>
      <c r="E4" s="201">
        <v>21</v>
      </c>
      <c r="F4" s="221">
        <f>10*50</f>
        <v>500</v>
      </c>
      <c r="G4" s="221">
        <v>995</v>
      </c>
      <c r="H4" s="221">
        <v>50</v>
      </c>
      <c r="I4" s="221">
        <v>350</v>
      </c>
      <c r="J4" s="221">
        <v>725</v>
      </c>
      <c r="K4" s="221">
        <f>+K15</f>
        <v>325</v>
      </c>
      <c r="L4" s="221">
        <f>+L15</f>
        <v>500</v>
      </c>
      <c r="M4" s="221">
        <f>650+M15</f>
        <v>650</v>
      </c>
      <c r="N4" s="222">
        <v>450</v>
      </c>
      <c r="O4" s="222">
        <v>570</v>
      </c>
      <c r="P4" s="221">
        <v>425</v>
      </c>
      <c r="Q4" s="221">
        <v>400</v>
      </c>
      <c r="R4" s="221">
        <v>300</v>
      </c>
      <c r="S4" s="221">
        <v>240</v>
      </c>
      <c r="T4" s="221">
        <f>240+140</f>
        <v>380</v>
      </c>
    </row>
    <row r="5" spans="1:20" s="198" customFormat="1" x14ac:dyDescent="0.2">
      <c r="A5" s="218" t="s">
        <v>102</v>
      </c>
      <c r="B5" s="218" t="s">
        <v>60</v>
      </c>
      <c r="C5" s="218"/>
      <c r="D5" s="218" t="s">
        <v>76</v>
      </c>
      <c r="E5" s="219">
        <v>26</v>
      </c>
      <c r="F5" s="211">
        <v>0</v>
      </c>
      <c r="G5" s="211">
        <v>0</v>
      </c>
      <c r="H5" s="211">
        <v>0</v>
      </c>
      <c r="I5" s="211">
        <v>0</v>
      </c>
      <c r="J5" s="211">
        <v>0</v>
      </c>
      <c r="K5" s="211">
        <v>0</v>
      </c>
      <c r="L5" s="211">
        <v>0</v>
      </c>
      <c r="M5" s="211">
        <f>38.41+M16</f>
        <v>38.409999999999997</v>
      </c>
      <c r="N5" s="211">
        <v>0</v>
      </c>
      <c r="O5" s="211">
        <v>0</v>
      </c>
      <c r="P5" s="211"/>
      <c r="Q5" s="211">
        <v>20</v>
      </c>
      <c r="R5" s="211">
        <v>20</v>
      </c>
      <c r="S5" s="211">
        <v>30</v>
      </c>
      <c r="T5" s="211">
        <f>62+23</f>
        <v>85</v>
      </c>
    </row>
    <row r="6" spans="1:20" x14ac:dyDescent="0.2">
      <c r="A6" s="13" t="s">
        <v>149</v>
      </c>
      <c r="F6" s="29">
        <f t="shared" ref="F6:K6" si="0">+F8+F7</f>
        <v>300</v>
      </c>
      <c r="G6" s="29">
        <f t="shared" si="0"/>
        <v>824</v>
      </c>
      <c r="H6" s="29">
        <f t="shared" si="0"/>
        <v>50</v>
      </c>
      <c r="I6" s="29">
        <f t="shared" si="0"/>
        <v>186</v>
      </c>
      <c r="J6" s="29">
        <f t="shared" si="0"/>
        <v>690</v>
      </c>
      <c r="K6" s="29">
        <f t="shared" si="0"/>
        <v>0.22000000000002728</v>
      </c>
      <c r="L6" s="29">
        <f t="shared" ref="L6:T6" si="1">+L8+L7</f>
        <v>181.14999999999998</v>
      </c>
      <c r="M6" s="29">
        <f>+M8+M7</f>
        <v>574.66</v>
      </c>
      <c r="N6" s="29">
        <f t="shared" si="1"/>
        <v>251</v>
      </c>
      <c r="O6" s="29">
        <f t="shared" si="1"/>
        <v>343</v>
      </c>
      <c r="P6" s="29">
        <f t="shared" si="1"/>
        <v>268.8</v>
      </c>
      <c r="Q6" s="29">
        <f t="shared" si="1"/>
        <v>318.23</v>
      </c>
      <c r="R6" s="29">
        <f t="shared" si="1"/>
        <v>122</v>
      </c>
      <c r="S6" s="29">
        <f t="shared" si="1"/>
        <v>168</v>
      </c>
      <c r="T6" s="29">
        <f t="shared" si="1"/>
        <v>459</v>
      </c>
    </row>
    <row r="7" spans="1:20" x14ac:dyDescent="0.2">
      <c r="A7" s="13" t="s">
        <v>75</v>
      </c>
      <c r="F7" s="29">
        <f t="shared" ref="F7:K7" si="2">SUM(F4:F5)</f>
        <v>500</v>
      </c>
      <c r="G7" s="29">
        <f t="shared" si="2"/>
        <v>995</v>
      </c>
      <c r="H7" s="29">
        <f t="shared" si="2"/>
        <v>50</v>
      </c>
      <c r="I7" s="29">
        <f t="shared" si="2"/>
        <v>350</v>
      </c>
      <c r="J7" s="29">
        <f t="shared" si="2"/>
        <v>725</v>
      </c>
      <c r="K7" s="29">
        <f t="shared" si="2"/>
        <v>325</v>
      </c>
      <c r="L7" s="29">
        <f t="shared" ref="L7:T7" si="3">SUM(L4:L5)</f>
        <v>500</v>
      </c>
      <c r="M7" s="29">
        <f>SUM(M4:M5)</f>
        <v>688.41</v>
      </c>
      <c r="N7" s="29">
        <f t="shared" si="3"/>
        <v>450</v>
      </c>
      <c r="O7" s="29">
        <f t="shared" si="3"/>
        <v>570</v>
      </c>
      <c r="P7" s="29">
        <f t="shared" si="3"/>
        <v>425</v>
      </c>
      <c r="Q7" s="29">
        <f t="shared" si="3"/>
        <v>420</v>
      </c>
      <c r="R7" s="29">
        <f t="shared" si="3"/>
        <v>320</v>
      </c>
      <c r="S7" s="29">
        <f t="shared" si="3"/>
        <v>270</v>
      </c>
      <c r="T7" s="29">
        <f t="shared" si="3"/>
        <v>465</v>
      </c>
    </row>
    <row r="8" spans="1:20" x14ac:dyDescent="0.2">
      <c r="A8" s="13" t="s">
        <v>14</v>
      </c>
      <c r="F8" s="29">
        <f t="shared" ref="F8:K8" si="4">-SUM(F3:F3)</f>
        <v>-200</v>
      </c>
      <c r="G8" s="29">
        <f t="shared" si="4"/>
        <v>-171</v>
      </c>
      <c r="H8" s="29">
        <f t="shared" si="4"/>
        <v>0</v>
      </c>
      <c r="I8" s="29">
        <f t="shared" si="4"/>
        <v>-164</v>
      </c>
      <c r="J8" s="29">
        <f t="shared" si="4"/>
        <v>-35</v>
      </c>
      <c r="K8" s="29">
        <f t="shared" si="4"/>
        <v>-324.77999999999997</v>
      </c>
      <c r="L8" s="29">
        <f t="shared" ref="L8:T8" si="5">-SUM(L3:L3)</f>
        <v>-318.85000000000002</v>
      </c>
      <c r="M8" s="29">
        <f>-SUM(M3:M3)</f>
        <v>-113.75</v>
      </c>
      <c r="N8" s="29">
        <f t="shared" si="5"/>
        <v>-199</v>
      </c>
      <c r="O8" s="29">
        <f t="shared" si="5"/>
        <v>-227</v>
      </c>
      <c r="P8" s="29">
        <f t="shared" si="5"/>
        <v>-156.19999999999999</v>
      </c>
      <c r="Q8" s="29">
        <f t="shared" si="5"/>
        <v>-101.77</v>
      </c>
      <c r="R8" s="29">
        <f t="shared" si="5"/>
        <v>-198</v>
      </c>
      <c r="S8" s="29">
        <f t="shared" si="5"/>
        <v>-102</v>
      </c>
      <c r="T8" s="29">
        <f t="shared" si="5"/>
        <v>-6</v>
      </c>
    </row>
    <row r="12" spans="1:20" x14ac:dyDescent="0.2">
      <c r="A12" s="267" t="s">
        <v>209</v>
      </c>
      <c r="B12" s="267"/>
      <c r="C12" s="267"/>
      <c r="D12" s="267"/>
      <c r="E12" s="145"/>
      <c r="F12" s="113" t="s">
        <v>3</v>
      </c>
      <c r="G12" s="113" t="s">
        <v>3</v>
      </c>
      <c r="H12" s="113" t="s">
        <v>3</v>
      </c>
      <c r="I12" s="113" t="s">
        <v>3</v>
      </c>
      <c r="J12" s="113" t="s">
        <v>3</v>
      </c>
      <c r="K12" s="4" t="s">
        <v>4</v>
      </c>
      <c r="L12" s="4" t="s">
        <v>4</v>
      </c>
      <c r="M12" s="4" t="s">
        <v>4</v>
      </c>
    </row>
    <row r="13" spans="1:20" x14ac:dyDescent="0.2">
      <c r="A13" s="116" t="s">
        <v>6</v>
      </c>
      <c r="B13" s="116" t="s">
        <v>7</v>
      </c>
      <c r="C13" s="116" t="s">
        <v>8</v>
      </c>
      <c r="D13" s="116" t="s">
        <v>9</v>
      </c>
      <c r="E13" s="145" t="s">
        <v>143</v>
      </c>
      <c r="F13" s="117">
        <f t="shared" ref="F13:K13" si="6">F2</f>
        <v>2022</v>
      </c>
      <c r="G13" s="117">
        <f t="shared" si="6"/>
        <v>2021</v>
      </c>
      <c r="H13" s="117">
        <f t="shared" si="6"/>
        <v>2020</v>
      </c>
      <c r="I13" s="117">
        <f t="shared" si="6"/>
        <v>2019</v>
      </c>
      <c r="J13" s="117">
        <f t="shared" si="6"/>
        <v>2018</v>
      </c>
      <c r="K13" s="117">
        <f t="shared" si="6"/>
        <v>2017</v>
      </c>
      <c r="L13" s="117">
        <v>2016</v>
      </c>
      <c r="M13" s="117">
        <v>2015</v>
      </c>
    </row>
    <row r="14" spans="1:20" x14ac:dyDescent="0.2">
      <c r="A14" s="90" t="s">
        <v>59</v>
      </c>
      <c r="B14" s="90" t="s">
        <v>60</v>
      </c>
      <c r="C14" s="90"/>
      <c r="D14" s="90" t="s">
        <v>15</v>
      </c>
      <c r="E14" s="147">
        <v>69</v>
      </c>
      <c r="F14" s="119">
        <v>0</v>
      </c>
      <c r="G14" s="119">
        <v>0</v>
      </c>
      <c r="H14" s="119">
        <v>0</v>
      </c>
      <c r="I14" s="119">
        <v>350</v>
      </c>
      <c r="J14" s="119">
        <v>350</v>
      </c>
      <c r="K14" s="119">
        <v>325</v>
      </c>
      <c r="L14" s="119">
        <v>350</v>
      </c>
      <c r="M14" s="110">
        <v>0</v>
      </c>
      <c r="N14" t="s">
        <v>212</v>
      </c>
    </row>
    <row r="15" spans="1:20" x14ac:dyDescent="0.2">
      <c r="A15" s="90" t="s">
        <v>97</v>
      </c>
      <c r="B15" s="90" t="s">
        <v>60</v>
      </c>
      <c r="C15" s="90" t="s">
        <v>98</v>
      </c>
      <c r="D15" s="90" t="s">
        <v>76</v>
      </c>
      <c r="E15" s="147">
        <v>21</v>
      </c>
      <c r="F15" s="119">
        <v>0</v>
      </c>
      <c r="G15" s="119">
        <v>0</v>
      </c>
      <c r="H15" s="119">
        <v>0</v>
      </c>
      <c r="I15" s="119">
        <v>325</v>
      </c>
      <c r="J15" s="119">
        <v>325</v>
      </c>
      <c r="K15" s="119">
        <v>325</v>
      </c>
      <c r="L15" s="119">
        <v>500</v>
      </c>
      <c r="M15" s="110">
        <v>0</v>
      </c>
    </row>
    <row r="16" spans="1:20" x14ac:dyDescent="0.2">
      <c r="A16" s="90" t="s">
        <v>102</v>
      </c>
      <c r="B16" s="90" t="s">
        <v>60</v>
      </c>
      <c r="C16" s="90"/>
      <c r="D16" s="90" t="s">
        <v>76</v>
      </c>
      <c r="E16" s="147">
        <v>26</v>
      </c>
      <c r="F16" s="119">
        <v>0</v>
      </c>
      <c r="G16" s="119">
        <v>0</v>
      </c>
      <c r="H16" s="119">
        <v>0</v>
      </c>
      <c r="I16" s="119">
        <v>0</v>
      </c>
      <c r="J16" s="119">
        <v>0</v>
      </c>
      <c r="K16" s="119">
        <v>0</v>
      </c>
      <c r="L16" s="119">
        <v>40</v>
      </c>
      <c r="M16" s="110">
        <v>0</v>
      </c>
      <c r="N16" t="s">
        <v>211</v>
      </c>
    </row>
    <row r="19" spans="1:13" x14ac:dyDescent="0.2">
      <c r="A19" t="s">
        <v>215</v>
      </c>
      <c r="F19" s="115">
        <f t="shared" ref="F19:H20" si="7">F14</f>
        <v>0</v>
      </c>
      <c r="G19" s="115">
        <f t="shared" si="7"/>
        <v>0</v>
      </c>
      <c r="H19" s="115">
        <f t="shared" si="7"/>
        <v>0</v>
      </c>
      <c r="I19" s="115">
        <f t="shared" ref="I19:K20" si="8">I14</f>
        <v>350</v>
      </c>
      <c r="J19" s="115">
        <f t="shared" si="8"/>
        <v>350</v>
      </c>
      <c r="K19" s="115">
        <f t="shared" si="8"/>
        <v>325</v>
      </c>
      <c r="L19" s="69"/>
      <c r="M19" s="29">
        <f>+M14</f>
        <v>0</v>
      </c>
    </row>
    <row r="20" spans="1:13" x14ac:dyDescent="0.2">
      <c r="A20" t="s">
        <v>216</v>
      </c>
      <c r="F20" s="115">
        <f t="shared" si="7"/>
        <v>0</v>
      </c>
      <c r="G20" s="115">
        <f t="shared" si="7"/>
        <v>0</v>
      </c>
      <c r="H20" s="115">
        <f t="shared" si="7"/>
        <v>0</v>
      </c>
      <c r="I20" s="115">
        <f t="shared" si="8"/>
        <v>325</v>
      </c>
      <c r="J20" s="115">
        <f t="shared" si="8"/>
        <v>325</v>
      </c>
      <c r="K20" s="115">
        <f t="shared" si="8"/>
        <v>325</v>
      </c>
      <c r="L20" s="69"/>
      <c r="M20" s="29">
        <f>SUM(M15:M16)</f>
        <v>0</v>
      </c>
    </row>
    <row r="21" spans="1:13" x14ac:dyDescent="0.2">
      <c r="A21" t="s">
        <v>217</v>
      </c>
      <c r="F21" s="69"/>
      <c r="G21" s="69"/>
      <c r="H21" s="69"/>
      <c r="I21" s="69"/>
      <c r="J21" s="69"/>
      <c r="K21" s="69"/>
      <c r="L21" s="69"/>
      <c r="M21" s="143">
        <f>+M20-M19</f>
        <v>0</v>
      </c>
    </row>
  </sheetData>
  <sheetProtection selectLockedCells="1" selectUnlockedCells="1"/>
  <customSheetViews>
    <customSheetView guid="{2689D123-C182-4EB2-AD12-2EBB4C48D466}">
      <selection activeCell="G21" sqref="A19:G21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  <customSheetView guid="{66341D55-D973-4BB5-9B70-DB158BEA4662}">
      <selection activeCell="G21" sqref="A19:G21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</customSheetViews>
  <mergeCells count="3">
    <mergeCell ref="A1:D1"/>
    <mergeCell ref="R1:T1"/>
    <mergeCell ref="A12:D12"/>
  </mergeCells>
  <phoneticPr fontId="9" type="noConversion"/>
  <pageMargins left="0.75" right="0.75" top="1" bottom="1" header="0.51180555555555551" footer="0.51180555555555551"/>
  <pageSetup firstPageNumber="0" orientation="landscape" r:id="rId1"/>
  <headerFooter alignWithMargins="0">
    <oddHeader>&amp;CRHODES 19</oddHead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49"/>
    <pageSetUpPr fitToPage="1"/>
  </sheetPr>
  <dimension ref="A1:T55"/>
  <sheetViews>
    <sheetView zoomScaleNormal="100" workbookViewId="0">
      <selection activeCell="F4" sqref="F4"/>
    </sheetView>
  </sheetViews>
  <sheetFormatPr defaultRowHeight="12.75" x14ac:dyDescent="0.2"/>
  <cols>
    <col min="1" max="1" width="31.140625" customWidth="1"/>
    <col min="2" max="2" width="7.7109375" hidden="1" customWidth="1"/>
    <col min="3" max="3" width="7.42578125" hidden="1" customWidth="1"/>
    <col min="4" max="4" width="16.140625" customWidth="1"/>
    <col min="5" max="5" width="5.28515625" style="146" hidden="1" customWidth="1"/>
    <col min="6" max="11" width="13" style="69" customWidth="1"/>
    <col min="12" max="12" width="11.42578125" style="69" customWidth="1"/>
    <col min="13" max="13" width="11.42578125" style="69" hidden="1" customWidth="1"/>
    <col min="14" max="14" width="10.85546875" style="69" hidden="1" customWidth="1"/>
    <col min="15" max="20" width="10.7109375" hidden="1" customWidth="1"/>
  </cols>
  <sheetData>
    <row r="1" spans="1:20" s="115" customFormat="1" ht="13.5" customHeight="1" x14ac:dyDescent="0.25">
      <c r="A1" s="265" t="s">
        <v>0</v>
      </c>
      <c r="B1" s="265"/>
      <c r="C1" s="265"/>
      <c r="D1" s="265"/>
      <c r="E1" s="145"/>
      <c r="F1" s="113" t="s">
        <v>3</v>
      </c>
      <c r="G1" s="4" t="s">
        <v>4</v>
      </c>
      <c r="H1" s="4" t="s">
        <v>4</v>
      </c>
      <c r="I1" s="4" t="s">
        <v>4</v>
      </c>
      <c r="J1" s="4" t="s">
        <v>4</v>
      </c>
      <c r="K1" s="4" t="s">
        <v>4</v>
      </c>
      <c r="L1" s="4" t="s">
        <v>4</v>
      </c>
      <c r="M1" s="4" t="s">
        <v>4</v>
      </c>
      <c r="N1" s="113" t="s">
        <v>4</v>
      </c>
      <c r="O1" s="113" t="s">
        <v>4</v>
      </c>
      <c r="P1" s="114" t="s">
        <v>4</v>
      </c>
      <c r="Q1" s="113" t="s">
        <v>4</v>
      </c>
      <c r="R1" s="266" t="s">
        <v>5</v>
      </c>
      <c r="S1" s="266"/>
      <c r="T1" s="266"/>
    </row>
    <row r="2" spans="1:20" s="115" customFormat="1" ht="13.5" customHeight="1" x14ac:dyDescent="0.25">
      <c r="A2" s="116" t="s">
        <v>6</v>
      </c>
      <c r="B2" s="228" t="s">
        <v>7</v>
      </c>
      <c r="C2" s="228" t="s">
        <v>250</v>
      </c>
      <c r="D2" s="228" t="s">
        <v>9</v>
      </c>
      <c r="E2" s="145" t="s">
        <v>143</v>
      </c>
      <c r="F2" s="117">
        <v>2022</v>
      </c>
      <c r="G2" s="117">
        <v>2021</v>
      </c>
      <c r="H2" s="117">
        <v>2020</v>
      </c>
      <c r="I2" s="117">
        <v>2019</v>
      </c>
      <c r="J2" s="117">
        <v>2018</v>
      </c>
      <c r="K2" s="117">
        <v>2017</v>
      </c>
      <c r="L2" s="117">
        <v>2016</v>
      </c>
      <c r="M2" s="117">
        <v>2015</v>
      </c>
      <c r="N2" s="117">
        <v>2014</v>
      </c>
      <c r="O2" s="117">
        <v>2013</v>
      </c>
      <c r="P2" s="108">
        <v>2012</v>
      </c>
      <c r="Q2" s="117">
        <v>2011</v>
      </c>
      <c r="R2" s="106">
        <v>2010</v>
      </c>
      <c r="S2" s="106">
        <v>2009</v>
      </c>
      <c r="T2" s="106">
        <v>2008</v>
      </c>
    </row>
    <row r="3" spans="1:20" s="165" customFormat="1" x14ac:dyDescent="0.2">
      <c r="A3" s="150" t="s">
        <v>251</v>
      </c>
      <c r="B3" s="161" t="s">
        <v>49</v>
      </c>
      <c r="C3" s="161"/>
      <c r="D3" s="161" t="s">
        <v>15</v>
      </c>
      <c r="E3" s="162">
        <v>61</v>
      </c>
      <c r="F3" s="159">
        <v>450</v>
      </c>
      <c r="G3" s="159">
        <v>1252</v>
      </c>
      <c r="H3" s="159">
        <v>0</v>
      </c>
      <c r="I3" s="159">
        <v>2616</v>
      </c>
      <c r="J3" s="159">
        <v>2534</v>
      </c>
      <c r="K3" s="159">
        <v>0</v>
      </c>
      <c r="L3" s="159">
        <f>238+1953+826-626-40-238-826</f>
        <v>1287</v>
      </c>
      <c r="M3" s="159">
        <f>1600+M43</f>
        <v>1600</v>
      </c>
      <c r="N3" s="163">
        <v>1569</v>
      </c>
      <c r="O3" s="159">
        <v>1547</v>
      </c>
      <c r="P3" s="159">
        <v>1046</v>
      </c>
      <c r="Q3" s="159">
        <v>1114</v>
      </c>
      <c r="R3" s="159">
        <v>1340</v>
      </c>
      <c r="S3" s="159">
        <v>1442</v>
      </c>
      <c r="T3" s="159">
        <v>1938</v>
      </c>
    </row>
    <row r="4" spans="1:20" s="165" customFormat="1" x14ac:dyDescent="0.2">
      <c r="A4" s="169" t="s">
        <v>253</v>
      </c>
      <c r="B4" s="161" t="s">
        <v>49</v>
      </c>
      <c r="C4" s="161"/>
      <c r="D4" s="161" t="s">
        <v>15</v>
      </c>
      <c r="E4" s="162"/>
      <c r="F4" s="159">
        <v>160</v>
      </c>
      <c r="G4" s="159">
        <v>0</v>
      </c>
      <c r="H4" s="159">
        <v>0</v>
      </c>
      <c r="I4" s="159">
        <v>0</v>
      </c>
      <c r="J4" s="159">
        <v>0</v>
      </c>
      <c r="K4" s="159">
        <v>0</v>
      </c>
      <c r="L4" s="159">
        <v>238</v>
      </c>
      <c r="M4" s="159"/>
      <c r="N4" s="163"/>
      <c r="O4" s="159"/>
      <c r="P4" s="159"/>
      <c r="Q4" s="159"/>
      <c r="R4" s="159"/>
      <c r="S4" s="159"/>
      <c r="T4" s="159"/>
    </row>
    <row r="5" spans="1:20" s="154" customFormat="1" x14ac:dyDescent="0.2">
      <c r="A5" s="150" t="s">
        <v>252</v>
      </c>
      <c r="B5" s="150" t="s">
        <v>49</v>
      </c>
      <c r="C5" s="150"/>
      <c r="D5" s="150" t="s">
        <v>15</v>
      </c>
      <c r="E5" s="151">
        <v>67</v>
      </c>
      <c r="F5" s="152">
        <v>0</v>
      </c>
      <c r="G5" s="152">
        <v>0</v>
      </c>
      <c r="H5" s="152">
        <v>0</v>
      </c>
      <c r="I5" s="152">
        <v>0</v>
      </c>
      <c r="J5" s="152">
        <v>0</v>
      </c>
      <c r="K5" s="159">
        <v>50</v>
      </c>
      <c r="L5" s="159">
        <v>50</v>
      </c>
      <c r="M5" s="152">
        <f>+M44</f>
        <v>0</v>
      </c>
      <c r="N5" s="153">
        <v>50</v>
      </c>
      <c r="O5" s="152">
        <v>725</v>
      </c>
      <c r="P5" s="152">
        <v>410</v>
      </c>
      <c r="Q5" s="152">
        <v>390</v>
      </c>
      <c r="R5" s="152">
        <f>690+50</f>
        <v>740</v>
      </c>
      <c r="S5" s="152">
        <f>45+540</f>
        <v>585</v>
      </c>
      <c r="T5" s="152">
        <v>115</v>
      </c>
    </row>
    <row r="6" spans="1:20" s="154" customFormat="1" x14ac:dyDescent="0.2">
      <c r="A6" s="150" t="s">
        <v>244</v>
      </c>
      <c r="B6" s="150" t="s">
        <v>49</v>
      </c>
      <c r="C6" s="150"/>
      <c r="D6" s="150" t="s">
        <v>15</v>
      </c>
      <c r="E6" s="151">
        <v>70</v>
      </c>
      <c r="F6" s="152">
        <v>0</v>
      </c>
      <c r="G6" s="152">
        <v>0</v>
      </c>
      <c r="H6" s="152">
        <v>0</v>
      </c>
      <c r="I6" s="152">
        <v>0</v>
      </c>
      <c r="J6" s="152">
        <v>0</v>
      </c>
      <c r="K6" s="159">
        <v>0</v>
      </c>
      <c r="L6" s="159">
        <v>41.25</v>
      </c>
      <c r="M6" s="152">
        <f>129.5+M45</f>
        <v>129.5</v>
      </c>
      <c r="N6" s="153">
        <v>259</v>
      </c>
      <c r="O6" s="152">
        <v>215</v>
      </c>
      <c r="P6" s="152">
        <v>82.35</v>
      </c>
      <c r="Q6" s="152">
        <v>101.78</v>
      </c>
      <c r="R6" s="152">
        <v>80</v>
      </c>
      <c r="S6" s="152">
        <v>102</v>
      </c>
      <c r="T6" s="152"/>
    </row>
    <row r="7" spans="1:20" s="154" customFormat="1" ht="13.5" thickBot="1" x14ac:dyDescent="0.25">
      <c r="A7" s="150" t="s">
        <v>245</v>
      </c>
      <c r="B7" s="150" t="s">
        <v>49</v>
      </c>
      <c r="C7" s="150"/>
      <c r="D7" s="150" t="s">
        <v>15</v>
      </c>
      <c r="E7" s="151">
        <v>70</v>
      </c>
      <c r="F7" s="152">
        <v>0</v>
      </c>
      <c r="G7" s="152">
        <v>0</v>
      </c>
      <c r="H7" s="152">
        <v>0</v>
      </c>
      <c r="I7" s="152">
        <v>164.19</v>
      </c>
      <c r="J7" s="152">
        <v>693.26</v>
      </c>
      <c r="K7" s="159">
        <v>174.02</v>
      </c>
      <c r="L7" s="159">
        <v>55.82</v>
      </c>
      <c r="M7" s="152">
        <f>276.05+M46</f>
        <v>276.05</v>
      </c>
      <c r="N7" s="153">
        <v>30.27</v>
      </c>
      <c r="O7" s="152">
        <v>974.42</v>
      </c>
      <c r="P7" s="152"/>
      <c r="Q7" s="152"/>
      <c r="R7" s="152"/>
      <c r="S7" s="152"/>
      <c r="T7" s="152"/>
    </row>
    <row r="8" spans="1:20" s="176" customFormat="1" ht="13.5" thickTop="1" x14ac:dyDescent="0.2">
      <c r="A8" s="172" t="s">
        <v>241</v>
      </c>
      <c r="B8" s="172" t="s">
        <v>49</v>
      </c>
      <c r="C8" s="172"/>
      <c r="D8" s="172" t="s">
        <v>76</v>
      </c>
      <c r="E8" s="173">
        <v>14</v>
      </c>
      <c r="F8" s="174">
        <v>450</v>
      </c>
      <c r="G8" s="174">
        <v>340</v>
      </c>
      <c r="H8" s="174">
        <v>0</v>
      </c>
      <c r="I8" s="174">
        <v>462</v>
      </c>
      <c r="J8" s="174">
        <v>1080</v>
      </c>
      <c r="K8" s="221">
        <v>1019</v>
      </c>
      <c r="L8" s="221">
        <f>427*3</f>
        <v>1281</v>
      </c>
      <c r="M8" s="174">
        <f>1560+M48</f>
        <v>1560</v>
      </c>
      <c r="N8" s="175">
        <v>1575</v>
      </c>
      <c r="O8" s="182">
        <v>1560</v>
      </c>
      <c r="P8" s="174">
        <v>1256</v>
      </c>
      <c r="Q8" s="174">
        <v>957.03</v>
      </c>
      <c r="R8" s="174">
        <v>1340</v>
      </c>
      <c r="S8" s="174">
        <v>1170</v>
      </c>
      <c r="T8" s="174">
        <v>1140</v>
      </c>
    </row>
    <row r="9" spans="1:20" s="168" customFormat="1" x14ac:dyDescent="0.2">
      <c r="A9" s="150" t="s">
        <v>246</v>
      </c>
      <c r="B9" s="161" t="s">
        <v>49</v>
      </c>
      <c r="C9" s="161"/>
      <c r="D9" s="161" t="s">
        <v>76</v>
      </c>
      <c r="E9" s="151"/>
      <c r="F9" s="152">
        <v>0</v>
      </c>
      <c r="G9" s="152">
        <v>0</v>
      </c>
      <c r="H9" s="152">
        <v>0</v>
      </c>
      <c r="I9" s="152">
        <v>0</v>
      </c>
      <c r="J9" s="152">
        <v>254</v>
      </c>
      <c r="K9" s="159">
        <v>0</v>
      </c>
      <c r="L9" s="159">
        <v>1916.28</v>
      </c>
      <c r="M9" s="152"/>
      <c r="N9" s="153"/>
      <c r="O9" s="126"/>
      <c r="P9" s="152"/>
      <c r="Q9" s="152"/>
      <c r="R9" s="152"/>
      <c r="S9" s="152"/>
      <c r="T9" s="152"/>
    </row>
    <row r="10" spans="1:20" s="165" customFormat="1" x14ac:dyDescent="0.2">
      <c r="A10" s="150" t="s">
        <v>242</v>
      </c>
      <c r="B10" s="161" t="s">
        <v>49</v>
      </c>
      <c r="C10" s="161"/>
      <c r="D10" s="161" t="s">
        <v>76</v>
      </c>
      <c r="E10" s="162">
        <v>22</v>
      </c>
      <c r="F10" s="159">
        <v>150</v>
      </c>
      <c r="G10" s="159">
        <v>75</v>
      </c>
      <c r="H10" s="159">
        <v>0</v>
      </c>
      <c r="I10" s="159">
        <v>683</v>
      </c>
      <c r="J10" s="159">
        <v>0</v>
      </c>
      <c r="K10" s="159">
        <v>317</v>
      </c>
      <c r="L10" s="159">
        <f>20*3</f>
        <v>60</v>
      </c>
      <c r="M10" s="159">
        <f>120+M49</f>
        <v>120</v>
      </c>
      <c r="N10" s="163">
        <v>100</v>
      </c>
      <c r="O10" s="164">
        <v>660</v>
      </c>
      <c r="P10" s="159">
        <v>195</v>
      </c>
      <c r="Q10" s="159">
        <v>420</v>
      </c>
      <c r="R10" s="159">
        <v>735</v>
      </c>
      <c r="S10" s="159">
        <v>770</v>
      </c>
      <c r="T10" s="159">
        <f>560+35</f>
        <v>595</v>
      </c>
    </row>
    <row r="11" spans="1:20" s="154" customFormat="1" x14ac:dyDescent="0.2">
      <c r="A11" s="150" t="s">
        <v>243</v>
      </c>
      <c r="B11" s="150" t="s">
        <v>49</v>
      </c>
      <c r="C11" s="150"/>
      <c r="D11" s="150" t="s">
        <v>76</v>
      </c>
      <c r="E11" s="151"/>
      <c r="F11" s="160">
        <v>0</v>
      </c>
      <c r="G11" s="160">
        <v>0</v>
      </c>
      <c r="H11" s="160">
        <v>0</v>
      </c>
      <c r="I11" s="160">
        <v>0</v>
      </c>
      <c r="J11" s="160">
        <v>0</v>
      </c>
      <c r="K11" s="244">
        <v>125</v>
      </c>
      <c r="L11" s="244">
        <v>125</v>
      </c>
      <c r="M11" s="152">
        <f>+M50</f>
        <v>0</v>
      </c>
      <c r="N11" s="152">
        <v>125</v>
      </c>
      <c r="O11" s="128">
        <v>150</v>
      </c>
      <c r="P11" s="160"/>
      <c r="Q11" s="160"/>
      <c r="R11" s="160"/>
      <c r="S11" s="160"/>
      <c r="T11" s="160"/>
    </row>
    <row r="12" spans="1:20" s="198" customFormat="1" x14ac:dyDescent="0.2">
      <c r="A12" s="218" t="s">
        <v>240</v>
      </c>
      <c r="B12" s="218"/>
      <c r="C12" s="218"/>
      <c r="D12" s="218"/>
      <c r="E12" s="219"/>
      <c r="F12" s="211">
        <v>0</v>
      </c>
      <c r="G12" s="211">
        <v>0</v>
      </c>
      <c r="H12" s="211">
        <v>0</v>
      </c>
      <c r="I12" s="211">
        <v>0</v>
      </c>
      <c r="J12" s="211">
        <v>0</v>
      </c>
      <c r="K12" s="211">
        <v>0</v>
      </c>
      <c r="L12" s="211">
        <v>0</v>
      </c>
      <c r="M12" s="211">
        <f>+M51</f>
        <v>0</v>
      </c>
      <c r="N12" s="211">
        <v>0</v>
      </c>
      <c r="O12" s="211">
        <v>1000</v>
      </c>
      <c r="P12" s="211"/>
      <c r="Q12" s="211"/>
      <c r="R12" s="211"/>
      <c r="S12" s="211"/>
      <c r="T12" s="211"/>
    </row>
    <row r="13" spans="1:20" x14ac:dyDescent="0.2">
      <c r="A13" s="13" t="s">
        <v>149</v>
      </c>
      <c r="F13" s="29">
        <f t="shared" ref="F13:K13" si="0">+F15+F14</f>
        <v>-10</v>
      </c>
      <c r="G13" s="29">
        <f t="shared" si="0"/>
        <v>-837</v>
      </c>
      <c r="H13" s="29">
        <f t="shared" si="0"/>
        <v>0</v>
      </c>
      <c r="I13" s="29">
        <f t="shared" si="0"/>
        <v>-1635.19</v>
      </c>
      <c r="J13" s="29">
        <f t="shared" si="0"/>
        <v>-1893.2600000000002</v>
      </c>
      <c r="K13" s="29">
        <f t="shared" si="0"/>
        <v>1236.98</v>
      </c>
      <c r="L13" s="29">
        <f t="shared" ref="L13:T13" si="1">+L15+L14</f>
        <v>1710.2099999999998</v>
      </c>
      <c r="M13" s="29">
        <f>+M15+M14</f>
        <v>-325.54999999999995</v>
      </c>
      <c r="N13" s="29">
        <f t="shared" si="1"/>
        <v>-108.26999999999998</v>
      </c>
      <c r="O13" s="29">
        <f t="shared" si="1"/>
        <v>-1091.42</v>
      </c>
      <c r="P13" s="29">
        <f t="shared" si="1"/>
        <v>-87.349999999999909</v>
      </c>
      <c r="Q13" s="29">
        <f t="shared" si="1"/>
        <v>-228.75</v>
      </c>
      <c r="R13" s="29">
        <f t="shared" si="1"/>
        <v>-85</v>
      </c>
      <c r="S13" s="29">
        <f t="shared" si="1"/>
        <v>-189</v>
      </c>
      <c r="T13" s="29">
        <f t="shared" si="1"/>
        <v>-318</v>
      </c>
    </row>
    <row r="14" spans="1:20" x14ac:dyDescent="0.2">
      <c r="A14" s="13" t="s">
        <v>75</v>
      </c>
      <c r="F14" s="29">
        <f t="shared" ref="F14:L14" si="2">SUM(F8:F12)</f>
        <v>600</v>
      </c>
      <c r="G14" s="29">
        <f t="shared" si="2"/>
        <v>415</v>
      </c>
      <c r="H14" s="29">
        <f t="shared" si="2"/>
        <v>0</v>
      </c>
      <c r="I14" s="29">
        <f t="shared" si="2"/>
        <v>1145</v>
      </c>
      <c r="J14" s="29">
        <f t="shared" si="2"/>
        <v>1334</v>
      </c>
      <c r="K14" s="29">
        <f t="shared" si="2"/>
        <v>1461</v>
      </c>
      <c r="L14" s="29">
        <f t="shared" si="2"/>
        <v>3382.2799999999997</v>
      </c>
      <c r="M14" s="29">
        <f>SUM(M8:M11)</f>
        <v>1680</v>
      </c>
      <c r="N14" s="29">
        <f t="shared" ref="N14:T14" si="3">SUM(N8:N11)</f>
        <v>1800</v>
      </c>
      <c r="O14" s="29">
        <f t="shared" si="3"/>
        <v>2370</v>
      </c>
      <c r="P14" s="29">
        <f t="shared" si="3"/>
        <v>1451</v>
      </c>
      <c r="Q14" s="29">
        <f t="shared" si="3"/>
        <v>1377.03</v>
      </c>
      <c r="R14" s="29">
        <f t="shared" si="3"/>
        <v>2075</v>
      </c>
      <c r="S14" s="29">
        <f t="shared" si="3"/>
        <v>1940</v>
      </c>
      <c r="T14" s="29">
        <f t="shared" si="3"/>
        <v>1735</v>
      </c>
    </row>
    <row r="15" spans="1:20" x14ac:dyDescent="0.2">
      <c r="A15" s="13" t="s">
        <v>14</v>
      </c>
      <c r="F15" s="29">
        <f>-SUM(F3:F7)</f>
        <v>-610</v>
      </c>
      <c r="G15" s="29">
        <f>-SUM(G3:G7)</f>
        <v>-1252</v>
      </c>
      <c r="H15" s="29">
        <f>-SUM(H3:H7)</f>
        <v>0</v>
      </c>
      <c r="I15" s="29">
        <f>-SUM(I3:I7)</f>
        <v>-2780.19</v>
      </c>
      <c r="J15" s="29">
        <f>-SUM(J3:J7)</f>
        <v>-3227.26</v>
      </c>
      <c r="K15" s="29">
        <f t="shared" ref="K15:T15" si="4">-SUM(K3:K7)</f>
        <v>-224.02</v>
      </c>
      <c r="L15" s="29">
        <f t="shared" si="4"/>
        <v>-1672.07</v>
      </c>
      <c r="M15" s="29">
        <f t="shared" si="4"/>
        <v>-2005.55</v>
      </c>
      <c r="N15" s="29">
        <f t="shared" si="4"/>
        <v>-1908.27</v>
      </c>
      <c r="O15" s="29">
        <f t="shared" si="4"/>
        <v>-3461.42</v>
      </c>
      <c r="P15" s="29">
        <f t="shared" si="4"/>
        <v>-1538.35</v>
      </c>
      <c r="Q15" s="29">
        <f t="shared" si="4"/>
        <v>-1605.78</v>
      </c>
      <c r="R15" s="29">
        <f t="shared" si="4"/>
        <v>-2160</v>
      </c>
      <c r="S15" s="29">
        <f t="shared" si="4"/>
        <v>-2129</v>
      </c>
      <c r="T15" s="29">
        <f t="shared" si="4"/>
        <v>-2053</v>
      </c>
    </row>
    <row r="16" spans="1:20" x14ac:dyDescent="0.2">
      <c r="F16"/>
      <c r="G16"/>
      <c r="H16"/>
      <c r="I16"/>
      <c r="J16"/>
      <c r="K16"/>
      <c r="L16"/>
      <c r="M16"/>
    </row>
    <row r="17" spans="1:16" x14ac:dyDescent="0.2">
      <c r="A17" s="129" t="s">
        <v>181</v>
      </c>
    </row>
    <row r="18" spans="1:16" x14ac:dyDescent="0.2">
      <c r="A18" s="99" t="s">
        <v>182</v>
      </c>
    </row>
    <row r="19" spans="1:16" x14ac:dyDescent="0.2">
      <c r="A19" t="s">
        <v>183</v>
      </c>
    </row>
    <row r="20" spans="1:16" x14ac:dyDescent="0.2">
      <c r="O20" s="102"/>
      <c r="P20" s="102"/>
    </row>
    <row r="21" spans="1:16" x14ac:dyDescent="0.2">
      <c r="A21" s="13" t="s">
        <v>184</v>
      </c>
      <c r="O21" s="102"/>
      <c r="P21" s="102"/>
    </row>
    <row r="22" spans="1:16" ht="15" hidden="1" x14ac:dyDescent="0.25">
      <c r="A22" s="130" t="s">
        <v>185</v>
      </c>
      <c r="B22" s="90" t="s">
        <v>49</v>
      </c>
      <c r="D22" s="90" t="s">
        <v>15</v>
      </c>
      <c r="F22" s="103">
        <v>60</v>
      </c>
      <c r="G22" s="103">
        <v>60</v>
      </c>
      <c r="H22" s="103">
        <v>60</v>
      </c>
      <c r="I22" s="103">
        <v>60</v>
      </c>
      <c r="J22" s="103">
        <v>60</v>
      </c>
      <c r="K22" s="103">
        <v>60</v>
      </c>
      <c r="L22" s="103">
        <v>60</v>
      </c>
      <c r="M22" s="103"/>
      <c r="N22" s="120"/>
      <c r="O22" s="102"/>
      <c r="P22" s="102"/>
    </row>
    <row r="23" spans="1:16" ht="15" hidden="1" x14ac:dyDescent="0.25">
      <c r="A23" s="130" t="s">
        <v>186</v>
      </c>
      <c r="B23" s="90" t="s">
        <v>49</v>
      </c>
      <c r="D23" s="90" t="s">
        <v>15</v>
      </c>
      <c r="F23" s="103">
        <v>30</v>
      </c>
      <c r="G23" s="103">
        <v>30</v>
      </c>
      <c r="H23" s="103">
        <v>30</v>
      </c>
      <c r="I23" s="103">
        <v>30</v>
      </c>
      <c r="J23" s="103">
        <v>30</v>
      </c>
      <c r="K23" s="103">
        <v>30</v>
      </c>
      <c r="L23" s="103">
        <v>30</v>
      </c>
      <c r="M23" s="103"/>
      <c r="N23" s="120">
        <f>SUM(L3:L5)</f>
        <v>1575</v>
      </c>
      <c r="O23" s="102"/>
      <c r="P23" s="102"/>
    </row>
    <row r="24" spans="1:16" ht="15" hidden="1" x14ac:dyDescent="0.25">
      <c r="A24" s="130" t="s">
        <v>187</v>
      </c>
      <c r="B24" s="90" t="s">
        <v>49</v>
      </c>
      <c r="D24" s="90" t="s">
        <v>15</v>
      </c>
      <c r="F24" s="103">
        <v>20</v>
      </c>
      <c r="G24" s="103">
        <v>20</v>
      </c>
      <c r="H24" s="103">
        <v>20</v>
      </c>
      <c r="I24" s="103">
        <v>20</v>
      </c>
      <c r="J24" s="103">
        <v>20</v>
      </c>
      <c r="K24" s="103">
        <v>20</v>
      </c>
      <c r="L24" s="103">
        <v>20</v>
      </c>
      <c r="M24" s="103"/>
      <c r="O24" s="102"/>
      <c r="P24" s="102"/>
    </row>
    <row r="25" spans="1:16" ht="15" hidden="1" x14ac:dyDescent="0.25">
      <c r="A25" s="130" t="s">
        <v>188</v>
      </c>
      <c r="B25" s="90" t="s">
        <v>49</v>
      </c>
      <c r="D25" s="90" t="s">
        <v>15</v>
      </c>
      <c r="F25" s="103">
        <v>65</v>
      </c>
      <c r="G25" s="103">
        <v>65</v>
      </c>
      <c r="H25" s="103">
        <v>65</v>
      </c>
      <c r="I25" s="103">
        <v>65</v>
      </c>
      <c r="J25" s="103">
        <v>65</v>
      </c>
      <c r="K25" s="103">
        <v>65</v>
      </c>
      <c r="L25" s="103">
        <v>65</v>
      </c>
      <c r="M25" s="103"/>
      <c r="O25" s="102"/>
      <c r="P25" s="102"/>
    </row>
    <row r="26" spans="1:16" ht="15" hidden="1" x14ac:dyDescent="0.25">
      <c r="A26" s="130" t="s">
        <v>189</v>
      </c>
      <c r="B26" s="90" t="s">
        <v>49</v>
      </c>
      <c r="D26" s="90" t="s">
        <v>15</v>
      </c>
      <c r="F26" s="103">
        <v>20</v>
      </c>
      <c r="G26" s="103">
        <v>20</v>
      </c>
      <c r="H26" s="103">
        <v>20</v>
      </c>
      <c r="I26" s="103">
        <v>20</v>
      </c>
      <c r="J26" s="103">
        <v>20</v>
      </c>
      <c r="K26" s="103">
        <v>20</v>
      </c>
      <c r="L26" s="103">
        <v>20</v>
      </c>
      <c r="M26" s="103"/>
      <c r="O26" s="102"/>
      <c r="P26" s="102"/>
    </row>
    <row r="27" spans="1:16" ht="15" hidden="1" x14ac:dyDescent="0.25">
      <c r="A27" s="130" t="s">
        <v>190</v>
      </c>
      <c r="B27" s="90" t="s">
        <v>49</v>
      </c>
      <c r="D27" s="90" t="s">
        <v>15</v>
      </c>
      <c r="F27" s="103">
        <v>37</v>
      </c>
      <c r="G27" s="103">
        <v>37</v>
      </c>
      <c r="H27" s="103">
        <v>37</v>
      </c>
      <c r="I27" s="103">
        <v>37</v>
      </c>
      <c r="J27" s="103">
        <v>37</v>
      </c>
      <c r="K27" s="103">
        <v>37</v>
      </c>
      <c r="L27" s="103">
        <v>37</v>
      </c>
      <c r="M27" s="103"/>
      <c r="O27" s="102"/>
      <c r="P27" s="102"/>
    </row>
    <row r="28" spans="1:16" ht="15" hidden="1" x14ac:dyDescent="0.25">
      <c r="A28" s="130" t="s">
        <v>191</v>
      </c>
      <c r="B28" s="90" t="s">
        <v>49</v>
      </c>
      <c r="D28" s="90" t="s">
        <v>15</v>
      </c>
      <c r="F28" s="103">
        <v>3</v>
      </c>
      <c r="G28" s="103">
        <v>3</v>
      </c>
      <c r="H28" s="103">
        <v>3</v>
      </c>
      <c r="I28" s="103">
        <v>3</v>
      </c>
      <c r="J28" s="103">
        <v>3</v>
      </c>
      <c r="K28" s="103">
        <v>3</v>
      </c>
      <c r="L28" s="103">
        <v>3</v>
      </c>
      <c r="M28" s="103"/>
      <c r="O28" s="69"/>
      <c r="P28" s="102"/>
    </row>
    <row r="29" spans="1:16" ht="15" hidden="1" x14ac:dyDescent="0.25">
      <c r="A29" s="130" t="s">
        <v>192</v>
      </c>
      <c r="B29" s="90" t="s">
        <v>49</v>
      </c>
      <c r="D29" s="90" t="s">
        <v>15</v>
      </c>
      <c r="F29" s="103">
        <v>55</v>
      </c>
      <c r="G29" s="103">
        <v>55</v>
      </c>
      <c r="H29" s="103">
        <v>55</v>
      </c>
      <c r="I29" s="103">
        <v>55</v>
      </c>
      <c r="J29" s="103">
        <v>55</v>
      </c>
      <c r="K29" s="103">
        <v>55</v>
      </c>
      <c r="L29" s="103">
        <v>55</v>
      </c>
      <c r="M29" s="103"/>
      <c r="O29" s="115"/>
      <c r="P29" s="131"/>
    </row>
    <row r="30" spans="1:16" ht="15" hidden="1" x14ac:dyDescent="0.25">
      <c r="A30" s="130" t="s">
        <v>193</v>
      </c>
      <c r="B30" s="90" t="s">
        <v>49</v>
      </c>
      <c r="D30" s="90" t="s">
        <v>15</v>
      </c>
      <c r="F30" s="103">
        <v>45</v>
      </c>
      <c r="G30" s="103">
        <v>45</v>
      </c>
      <c r="H30" s="103">
        <v>45</v>
      </c>
      <c r="I30" s="103">
        <v>45</v>
      </c>
      <c r="J30" s="103">
        <v>45</v>
      </c>
      <c r="K30" s="103">
        <v>45</v>
      </c>
      <c r="L30" s="103">
        <v>45</v>
      </c>
      <c r="M30" s="103"/>
    </row>
    <row r="31" spans="1:16" ht="15" hidden="1" x14ac:dyDescent="0.25">
      <c r="A31" s="130" t="s">
        <v>194</v>
      </c>
      <c r="B31" s="90" t="s">
        <v>49</v>
      </c>
      <c r="D31" s="90" t="s">
        <v>15</v>
      </c>
      <c r="F31" s="103">
        <v>11</v>
      </c>
      <c r="G31" s="103">
        <v>11</v>
      </c>
      <c r="H31" s="103">
        <v>11</v>
      </c>
      <c r="I31" s="103">
        <v>11</v>
      </c>
      <c r="J31" s="103">
        <v>11</v>
      </c>
      <c r="K31" s="103">
        <v>11</v>
      </c>
      <c r="L31" s="103">
        <v>11</v>
      </c>
      <c r="M31" s="103"/>
    </row>
    <row r="32" spans="1:16" ht="15" hidden="1" x14ac:dyDescent="0.25">
      <c r="A32" s="130" t="s">
        <v>195</v>
      </c>
      <c r="B32" s="90" t="s">
        <v>49</v>
      </c>
      <c r="D32" s="90" t="s">
        <v>15</v>
      </c>
      <c r="F32" s="103">
        <v>8</v>
      </c>
      <c r="G32" s="103">
        <v>8</v>
      </c>
      <c r="H32" s="103">
        <v>8</v>
      </c>
      <c r="I32" s="103">
        <v>8</v>
      </c>
      <c r="J32" s="103">
        <v>8</v>
      </c>
      <c r="K32" s="103">
        <v>8</v>
      </c>
      <c r="L32" s="103">
        <v>8</v>
      </c>
      <c r="M32" s="103"/>
    </row>
    <row r="33" spans="1:14" ht="15" hidden="1" x14ac:dyDescent="0.25">
      <c r="A33" s="130" t="s">
        <v>196</v>
      </c>
      <c r="B33" s="90" t="s">
        <v>49</v>
      </c>
      <c r="D33" s="90" t="s">
        <v>15</v>
      </c>
      <c r="F33" s="103"/>
      <c r="G33" s="103"/>
      <c r="H33" s="103"/>
      <c r="I33" s="103"/>
      <c r="J33" s="103"/>
      <c r="K33" s="103"/>
      <c r="L33" s="103"/>
      <c r="M33" s="103"/>
    </row>
    <row r="34" spans="1:14" ht="15" hidden="1" x14ac:dyDescent="0.25">
      <c r="A34" s="132" t="s">
        <v>197</v>
      </c>
      <c r="B34" s="90" t="s">
        <v>49</v>
      </c>
      <c r="D34" s="90" t="s">
        <v>15</v>
      </c>
      <c r="F34" s="103">
        <v>35</v>
      </c>
      <c r="G34" s="103">
        <v>35</v>
      </c>
      <c r="H34" s="103">
        <v>35</v>
      </c>
      <c r="I34" s="103">
        <v>35</v>
      </c>
      <c r="J34" s="103">
        <v>35</v>
      </c>
      <c r="K34" s="103">
        <v>35</v>
      </c>
      <c r="L34" s="103">
        <v>35</v>
      </c>
      <c r="M34" s="103"/>
    </row>
    <row r="35" spans="1:14" ht="15" hidden="1" x14ac:dyDescent="0.25">
      <c r="A35" s="132" t="s">
        <v>198</v>
      </c>
      <c r="B35" s="90" t="s">
        <v>49</v>
      </c>
      <c r="D35" s="90" t="s">
        <v>15</v>
      </c>
      <c r="F35" s="103">
        <v>40</v>
      </c>
      <c r="G35" s="103">
        <v>40</v>
      </c>
      <c r="H35" s="103">
        <v>40</v>
      </c>
      <c r="I35" s="103">
        <v>40</v>
      </c>
      <c r="J35" s="103">
        <v>40</v>
      </c>
      <c r="K35" s="103">
        <v>40</v>
      </c>
      <c r="L35" s="103">
        <v>40</v>
      </c>
      <c r="M35" s="103"/>
    </row>
    <row r="36" spans="1:14" ht="15" hidden="1" x14ac:dyDescent="0.25">
      <c r="A36" s="130" t="s">
        <v>199</v>
      </c>
      <c r="B36" s="90" t="s">
        <v>49</v>
      </c>
      <c r="D36" s="90" t="s">
        <v>15</v>
      </c>
      <c r="F36" s="133">
        <v>200</v>
      </c>
      <c r="G36" s="133">
        <v>200</v>
      </c>
      <c r="H36" s="133">
        <v>200</v>
      </c>
      <c r="I36" s="133">
        <v>200</v>
      </c>
      <c r="J36" s="133">
        <v>200</v>
      </c>
      <c r="K36" s="133">
        <v>200</v>
      </c>
      <c r="L36" s="133">
        <v>200</v>
      </c>
      <c r="M36" s="103"/>
    </row>
    <row r="37" spans="1:14" x14ac:dyDescent="0.2"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/>
    </row>
    <row r="38" spans="1:14" x14ac:dyDescent="0.2">
      <c r="F38"/>
      <c r="G38"/>
      <c r="H38"/>
      <c r="I38"/>
      <c r="J38"/>
      <c r="K38"/>
      <c r="L38"/>
      <c r="M38"/>
    </row>
    <row r="39" spans="1:14" x14ac:dyDescent="0.2">
      <c r="F39" s="103"/>
      <c r="G39" s="103"/>
      <c r="H39" s="103"/>
      <c r="I39" s="103"/>
      <c r="J39" s="103"/>
      <c r="K39" s="103"/>
      <c r="L39" s="103"/>
      <c r="M39" s="103"/>
    </row>
    <row r="40" spans="1:14" x14ac:dyDescent="0.2">
      <c r="F40" s="103"/>
      <c r="G40" s="103"/>
      <c r="H40" s="103"/>
      <c r="I40" s="103"/>
      <c r="J40" s="103"/>
      <c r="K40" s="103"/>
      <c r="L40" s="103"/>
      <c r="M40" s="103"/>
    </row>
    <row r="41" spans="1:14" x14ac:dyDescent="0.2">
      <c r="A41" s="267" t="s">
        <v>209</v>
      </c>
      <c r="B41" s="267"/>
      <c r="C41" s="267"/>
      <c r="D41" s="267"/>
      <c r="E41" s="145"/>
      <c r="F41" s="113" t="s">
        <v>3</v>
      </c>
      <c r="G41" s="113" t="s">
        <v>3</v>
      </c>
      <c r="H41" s="113" t="s">
        <v>3</v>
      </c>
      <c r="I41" s="113" t="s">
        <v>3</v>
      </c>
      <c r="J41" s="113" t="s">
        <v>3</v>
      </c>
      <c r="K41" s="4" t="s">
        <v>4</v>
      </c>
      <c r="L41" s="4" t="s">
        <v>4</v>
      </c>
      <c r="M41" s="4" t="s">
        <v>4</v>
      </c>
    </row>
    <row r="42" spans="1:14" x14ac:dyDescent="0.2">
      <c r="A42" s="116" t="s">
        <v>6</v>
      </c>
      <c r="B42" s="116" t="s">
        <v>7</v>
      </c>
      <c r="C42" s="116" t="s">
        <v>8</v>
      </c>
      <c r="D42" s="116" t="s">
        <v>9</v>
      </c>
      <c r="E42" s="145" t="s">
        <v>143</v>
      </c>
      <c r="F42" s="117">
        <f t="shared" ref="F42:K42" si="5">F2</f>
        <v>2022</v>
      </c>
      <c r="G42" s="117">
        <f t="shared" si="5"/>
        <v>2021</v>
      </c>
      <c r="H42" s="117">
        <f t="shared" si="5"/>
        <v>2020</v>
      </c>
      <c r="I42" s="117">
        <f t="shared" si="5"/>
        <v>2019</v>
      </c>
      <c r="J42" s="117">
        <f t="shared" si="5"/>
        <v>2018</v>
      </c>
      <c r="K42" s="117">
        <f t="shared" si="5"/>
        <v>2017</v>
      </c>
      <c r="L42" s="117">
        <v>2016</v>
      </c>
      <c r="M42" s="117">
        <v>2015</v>
      </c>
    </row>
    <row r="43" spans="1:14" x14ac:dyDescent="0.2">
      <c r="A43" s="99" t="s">
        <v>175</v>
      </c>
      <c r="B43" s="90" t="s">
        <v>49</v>
      </c>
      <c r="C43" s="90"/>
      <c r="D43" s="90" t="s">
        <v>15</v>
      </c>
      <c r="E43" s="147">
        <v>61</v>
      </c>
      <c r="F43" s="119">
        <v>0</v>
      </c>
      <c r="G43" s="119">
        <v>0</v>
      </c>
      <c r="H43" s="119">
        <v>0</v>
      </c>
      <c r="I43" s="119">
        <v>0</v>
      </c>
      <c r="J43" s="119">
        <v>2479</v>
      </c>
      <c r="K43" s="119">
        <v>2479</v>
      </c>
      <c r="L43" s="119"/>
      <c r="M43" s="110">
        <v>0</v>
      </c>
    </row>
    <row r="44" spans="1:14" x14ac:dyDescent="0.2">
      <c r="A44" s="127" t="s">
        <v>176</v>
      </c>
      <c r="B44" s="90" t="s">
        <v>49</v>
      </c>
      <c r="C44" s="90"/>
      <c r="D44" s="90" t="s">
        <v>15</v>
      </c>
      <c r="E44" s="147">
        <v>67</v>
      </c>
      <c r="F44" s="119">
        <v>0</v>
      </c>
      <c r="G44" s="119">
        <v>0</v>
      </c>
      <c r="H44" s="119">
        <v>0</v>
      </c>
      <c r="I44" s="119">
        <v>0</v>
      </c>
      <c r="J44" s="119">
        <f>J5</f>
        <v>0</v>
      </c>
      <c r="K44" s="119">
        <f>K5</f>
        <v>50</v>
      </c>
      <c r="L44" s="119"/>
      <c r="M44" s="110">
        <v>0</v>
      </c>
    </row>
    <row r="45" spans="1:14" x14ac:dyDescent="0.2">
      <c r="A45" s="90" t="s">
        <v>61</v>
      </c>
      <c r="B45" s="90" t="s">
        <v>49</v>
      </c>
      <c r="C45" s="90"/>
      <c r="D45" s="90" t="s">
        <v>15</v>
      </c>
      <c r="E45" s="147">
        <v>70</v>
      </c>
      <c r="F45" s="119">
        <v>0</v>
      </c>
      <c r="G45" s="119">
        <v>0</v>
      </c>
      <c r="H45" s="119">
        <v>0</v>
      </c>
      <c r="I45" s="119">
        <v>0</v>
      </c>
      <c r="J45" s="119">
        <f>J6</f>
        <v>0</v>
      </c>
      <c r="K45" s="119">
        <f>K6</f>
        <v>0</v>
      </c>
      <c r="L45" s="119"/>
      <c r="M45" s="110">
        <v>0</v>
      </c>
      <c r="N45" s="69" t="s">
        <v>214</v>
      </c>
    </row>
    <row r="46" spans="1:14" x14ac:dyDescent="0.2">
      <c r="A46" s="99" t="s">
        <v>62</v>
      </c>
      <c r="B46" s="90" t="s">
        <v>49</v>
      </c>
      <c r="C46" s="90"/>
      <c r="D46" s="90" t="s">
        <v>15</v>
      </c>
      <c r="E46" s="147">
        <v>70</v>
      </c>
      <c r="F46" s="119">
        <v>0</v>
      </c>
      <c r="G46" s="119">
        <v>0</v>
      </c>
      <c r="H46" s="119">
        <v>0</v>
      </c>
      <c r="I46" s="119">
        <v>0</v>
      </c>
      <c r="J46" s="119">
        <v>174</v>
      </c>
      <c r="K46" s="119">
        <v>174</v>
      </c>
      <c r="L46" s="119"/>
      <c r="M46" s="110"/>
      <c r="N46" s="69" t="s">
        <v>213</v>
      </c>
    </row>
    <row r="47" spans="1:14" x14ac:dyDescent="0.2">
      <c r="A47" s="99" t="s">
        <v>177</v>
      </c>
      <c r="B47" s="90" t="s">
        <v>49</v>
      </c>
      <c r="C47" s="90"/>
      <c r="D47" s="90" t="s">
        <v>15</v>
      </c>
      <c r="E47" s="147"/>
      <c r="F47" s="119">
        <v>0</v>
      </c>
      <c r="G47" s="119">
        <v>0</v>
      </c>
      <c r="H47" s="119">
        <v>0</v>
      </c>
      <c r="I47" s="119">
        <v>0</v>
      </c>
      <c r="J47" s="119">
        <f>J5</f>
        <v>0</v>
      </c>
      <c r="K47" s="119">
        <f>K5</f>
        <v>50</v>
      </c>
      <c r="L47" s="119"/>
      <c r="M47" s="110">
        <v>0</v>
      </c>
    </row>
    <row r="48" spans="1:14" x14ac:dyDescent="0.2">
      <c r="A48" s="90" t="s">
        <v>86</v>
      </c>
      <c r="B48" s="90" t="s">
        <v>49</v>
      </c>
      <c r="C48" s="90"/>
      <c r="D48" s="90" t="s">
        <v>76</v>
      </c>
      <c r="E48" s="147">
        <v>14</v>
      </c>
      <c r="F48" s="119">
        <v>0</v>
      </c>
      <c r="G48" s="119">
        <v>0</v>
      </c>
      <c r="H48" s="119">
        <v>0</v>
      </c>
      <c r="I48" s="119">
        <v>0</v>
      </c>
      <c r="J48" s="119">
        <v>1019</v>
      </c>
      <c r="K48" s="119">
        <v>1019</v>
      </c>
      <c r="L48" s="119"/>
      <c r="M48" s="110">
        <v>0</v>
      </c>
    </row>
    <row r="49" spans="1:13" x14ac:dyDescent="0.2">
      <c r="A49" s="90" t="s">
        <v>178</v>
      </c>
      <c r="B49" s="90" t="s">
        <v>49</v>
      </c>
      <c r="C49" s="90"/>
      <c r="D49" s="90" t="s">
        <v>76</v>
      </c>
      <c r="E49" s="147">
        <v>22</v>
      </c>
      <c r="F49" s="119">
        <v>0</v>
      </c>
      <c r="G49" s="119">
        <v>0</v>
      </c>
      <c r="H49" s="119">
        <v>0</v>
      </c>
      <c r="I49" s="119">
        <v>0</v>
      </c>
      <c r="J49" s="119">
        <v>317</v>
      </c>
      <c r="K49" s="119">
        <v>317</v>
      </c>
      <c r="L49" s="119"/>
      <c r="M49" s="110">
        <v>0</v>
      </c>
    </row>
    <row r="50" spans="1:13" x14ac:dyDescent="0.2">
      <c r="A50" s="99" t="s">
        <v>179</v>
      </c>
      <c r="B50" s="90" t="s">
        <v>49</v>
      </c>
      <c r="C50" s="90"/>
      <c r="D50" s="90" t="s">
        <v>76</v>
      </c>
      <c r="E50" s="147"/>
      <c r="F50" s="119">
        <v>0</v>
      </c>
      <c r="G50" s="119">
        <v>0</v>
      </c>
      <c r="H50" s="119">
        <v>0</v>
      </c>
      <c r="I50" s="119">
        <v>0</v>
      </c>
      <c r="J50" s="119">
        <v>125</v>
      </c>
      <c r="K50" s="119">
        <v>125</v>
      </c>
      <c r="L50" s="119"/>
      <c r="M50" s="110">
        <v>0</v>
      </c>
    </row>
    <row r="51" spans="1:13" x14ac:dyDescent="0.2">
      <c r="A51" s="90" t="s">
        <v>180</v>
      </c>
      <c r="B51" s="90"/>
      <c r="C51" s="90"/>
      <c r="D51" s="90"/>
      <c r="E51" s="147"/>
      <c r="F51" s="103">
        <v>0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/>
      <c r="M51" s="103"/>
    </row>
    <row r="52" spans="1:13" x14ac:dyDescent="0.2">
      <c r="F52" s="103"/>
      <c r="G52" s="103"/>
      <c r="H52" s="103"/>
      <c r="I52" s="103"/>
      <c r="J52" s="103"/>
      <c r="K52" s="103"/>
      <c r="L52" s="103"/>
      <c r="M52" s="103"/>
    </row>
    <row r="53" spans="1:13" x14ac:dyDescent="0.2">
      <c r="A53" t="s">
        <v>215</v>
      </c>
      <c r="F53" s="115">
        <f t="shared" ref="F53:K53" si="6">F43+F44+F45+F46+F47</f>
        <v>0</v>
      </c>
      <c r="G53" s="115">
        <f t="shared" si="6"/>
        <v>0</v>
      </c>
      <c r="H53" s="115">
        <f t="shared" si="6"/>
        <v>0</v>
      </c>
      <c r="I53" s="115">
        <f t="shared" si="6"/>
        <v>0</v>
      </c>
      <c r="J53" s="115">
        <f t="shared" si="6"/>
        <v>2653</v>
      </c>
      <c r="K53" s="115">
        <f t="shared" si="6"/>
        <v>2753</v>
      </c>
      <c r="M53" s="29">
        <f>SUM(M43:M47)</f>
        <v>0</v>
      </c>
    </row>
    <row r="54" spans="1:13" x14ac:dyDescent="0.2">
      <c r="A54" t="s">
        <v>216</v>
      </c>
      <c r="F54" s="241">
        <f t="shared" ref="F54:K54" si="7">F48+F49+F50+F51</f>
        <v>0</v>
      </c>
      <c r="G54" s="241">
        <f t="shared" si="7"/>
        <v>0</v>
      </c>
      <c r="H54" s="241">
        <f t="shared" si="7"/>
        <v>0</v>
      </c>
      <c r="I54" s="241">
        <f t="shared" si="7"/>
        <v>0</v>
      </c>
      <c r="J54" s="241">
        <f t="shared" si="7"/>
        <v>1461</v>
      </c>
      <c r="K54" s="241">
        <f t="shared" si="7"/>
        <v>1461</v>
      </c>
      <c r="M54" s="29">
        <f>SUM(M48:M50)</f>
        <v>0</v>
      </c>
    </row>
    <row r="55" spans="1:13" x14ac:dyDescent="0.2">
      <c r="A55" t="s">
        <v>217</v>
      </c>
      <c r="M55" s="143">
        <f>+M54-M53</f>
        <v>0</v>
      </c>
    </row>
  </sheetData>
  <sheetProtection selectLockedCells="1" selectUnlockedCells="1"/>
  <customSheetViews>
    <customSheetView guid="{2689D123-C182-4EB2-AD12-2EBB4C48D466}" showPageBreaks="1" fitToPage="1" printArea="1">
      <selection activeCell="G3" sqref="G3"/>
      <pageMargins left="0.75" right="0.75" top="1" bottom="1" header="0.51180555555555551" footer="0.51180555555555551"/>
      <pageSetup scale="64" firstPageNumber="0" orientation="landscape" horizontalDpi="300" verticalDpi="300" r:id="rId1"/>
      <headerFooter alignWithMargins="0"/>
    </customSheetView>
    <customSheetView guid="{66341D55-D973-4BB5-9B70-DB158BEA4662}" fitToPage="1" printArea="1" hiddenRows="1" hiddenColumns="1" topLeftCell="A13">
      <selection activeCell="A40" sqref="A40:H54"/>
      <pageMargins left="0.75" right="0.75" top="1" bottom="1" header="0.51180555555555551" footer="0.51180555555555551"/>
      <pageSetup firstPageNumber="0" orientation="landscape" horizontalDpi="300" verticalDpi="300" r:id="rId2"/>
      <headerFooter alignWithMargins="0"/>
    </customSheetView>
  </customSheetViews>
  <mergeCells count="3">
    <mergeCell ref="A1:D1"/>
    <mergeCell ref="R1:T1"/>
    <mergeCell ref="A41:D41"/>
  </mergeCells>
  <phoneticPr fontId="9" type="noConversion"/>
  <pageMargins left="0.75" right="0.75" top="1" bottom="1" header="0.51180555555555551" footer="0.51180555555555551"/>
  <pageSetup firstPageNumber="0" orientation="landscape" horizontalDpi="300" verticalDpi="300" r:id="rId3"/>
  <headerFooter alignWithMargins="0">
    <oddHeader>&amp;CSHIELDS</oddHeader>
  </headerFooter>
  <legacy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11"/>
  </sheetPr>
  <dimension ref="A1:U33"/>
  <sheetViews>
    <sheetView topLeftCell="A9" zoomScaleNormal="100" workbookViewId="0">
      <selection activeCell="D17" sqref="D17"/>
    </sheetView>
  </sheetViews>
  <sheetFormatPr defaultRowHeight="12.75" x14ac:dyDescent="0.2"/>
  <cols>
    <col min="1" max="1" width="20.42578125" customWidth="1"/>
    <col min="2" max="2" width="0" hidden="1" customWidth="1"/>
    <col min="3" max="4" width="15.7109375" customWidth="1"/>
    <col min="5" max="5" width="5.28515625" style="146" hidden="1" customWidth="1"/>
    <col min="6" max="11" width="14.28515625" style="69" customWidth="1"/>
    <col min="12" max="12" width="11.85546875" style="69" bestFit="1" customWidth="1"/>
    <col min="13" max="13" width="11.28515625" style="69" hidden="1" customWidth="1"/>
    <col min="14" max="14" width="12" style="69" hidden="1" customWidth="1"/>
    <col min="15" max="20" width="12" hidden="1" customWidth="1"/>
  </cols>
  <sheetData>
    <row r="1" spans="1:21" s="115" customFormat="1" ht="13.5" customHeight="1" x14ac:dyDescent="0.25">
      <c r="A1" s="265" t="s">
        <v>0</v>
      </c>
      <c r="B1" s="265"/>
      <c r="C1" s="265"/>
      <c r="D1" s="265"/>
      <c r="E1" s="145"/>
      <c r="F1" s="113" t="s">
        <v>3</v>
      </c>
      <c r="G1" s="4" t="s">
        <v>4</v>
      </c>
      <c r="H1" s="4" t="s">
        <v>4</v>
      </c>
      <c r="I1" s="4" t="s">
        <v>4</v>
      </c>
      <c r="J1" s="4" t="s">
        <v>4</v>
      </c>
      <c r="K1" s="4" t="s">
        <v>4</v>
      </c>
      <c r="L1" s="4" t="s">
        <v>4</v>
      </c>
      <c r="M1" s="4" t="s">
        <v>4</v>
      </c>
      <c r="N1" s="113" t="s">
        <v>4</v>
      </c>
      <c r="O1" s="113" t="s">
        <v>4</v>
      </c>
      <c r="P1" s="114" t="s">
        <v>4</v>
      </c>
      <c r="Q1" s="113" t="s">
        <v>4</v>
      </c>
      <c r="R1" s="266" t="s">
        <v>5</v>
      </c>
      <c r="S1" s="266"/>
      <c r="T1" s="266"/>
    </row>
    <row r="2" spans="1:21" s="115" customFormat="1" ht="13.5" customHeight="1" x14ac:dyDescent="0.25">
      <c r="A2" s="116" t="s">
        <v>6</v>
      </c>
      <c r="B2" s="116" t="s">
        <v>7</v>
      </c>
      <c r="C2" s="116" t="s">
        <v>8</v>
      </c>
      <c r="D2" s="116" t="s">
        <v>9</v>
      </c>
      <c r="E2" s="145" t="s">
        <v>143</v>
      </c>
      <c r="F2" s="117">
        <v>2022</v>
      </c>
      <c r="G2" s="117">
        <v>2021</v>
      </c>
      <c r="H2" s="117">
        <v>2020</v>
      </c>
      <c r="I2" s="117">
        <v>2019</v>
      </c>
      <c r="J2" s="117">
        <v>2018</v>
      </c>
      <c r="K2" s="117">
        <v>2017</v>
      </c>
      <c r="L2" s="117">
        <v>2016</v>
      </c>
      <c r="M2" s="117">
        <v>2015</v>
      </c>
      <c r="N2" s="117">
        <v>2014</v>
      </c>
      <c r="O2" s="117">
        <v>2013</v>
      </c>
      <c r="P2" s="108">
        <v>2012</v>
      </c>
      <c r="Q2" s="117">
        <v>2011</v>
      </c>
      <c r="R2" s="106">
        <v>2010</v>
      </c>
      <c r="S2" s="106">
        <v>2009</v>
      </c>
      <c r="T2" s="106">
        <v>2008</v>
      </c>
    </row>
    <row r="3" spans="1:21" s="154" customFormat="1" x14ac:dyDescent="0.2">
      <c r="A3" s="169" t="s">
        <v>234</v>
      </c>
      <c r="B3" s="150" t="s">
        <v>40</v>
      </c>
      <c r="C3" s="150"/>
      <c r="D3" s="150" t="s">
        <v>15</v>
      </c>
      <c r="E3" s="151">
        <v>54</v>
      </c>
      <c r="F3" s="152">
        <v>4500</v>
      </c>
      <c r="G3" s="152">
        <v>4532.6899999999996</v>
      </c>
      <c r="H3" s="152">
        <v>0</v>
      </c>
      <c r="I3" s="152">
        <f>4250+60</f>
        <v>4310</v>
      </c>
      <c r="J3" s="152">
        <v>3781.32</v>
      </c>
      <c r="K3" s="159">
        <v>5024.62</v>
      </c>
      <c r="L3" s="159">
        <v>2927.42</v>
      </c>
      <c r="M3" s="152">
        <f>4470+M23</f>
        <v>4470</v>
      </c>
      <c r="N3" s="153">
        <v>4688.6099999999997</v>
      </c>
      <c r="O3" s="153">
        <v>2275</v>
      </c>
      <c r="P3" s="152">
        <v>2238.77</v>
      </c>
      <c r="Q3" s="152">
        <v>2176.42</v>
      </c>
      <c r="R3" s="152">
        <v>1385</v>
      </c>
      <c r="S3" s="152">
        <v>1926</v>
      </c>
      <c r="T3" s="152">
        <v>131</v>
      </c>
    </row>
    <row r="4" spans="1:21" s="154" customFormat="1" x14ac:dyDescent="0.2">
      <c r="A4" s="169" t="s">
        <v>235</v>
      </c>
      <c r="B4" s="150" t="s">
        <v>40</v>
      </c>
      <c r="C4" s="150"/>
      <c r="D4" s="150" t="s">
        <v>15</v>
      </c>
      <c r="E4" s="151">
        <v>55</v>
      </c>
      <c r="F4" s="152">
        <v>0</v>
      </c>
      <c r="G4" s="152">
        <v>0</v>
      </c>
      <c r="H4" s="152">
        <v>500</v>
      </c>
      <c r="I4" s="152">
        <v>3077</v>
      </c>
      <c r="J4" s="152">
        <v>3728.91</v>
      </c>
      <c r="K4" s="159">
        <v>6041.2</v>
      </c>
      <c r="L4" s="159">
        <v>7414.79</v>
      </c>
      <c r="M4" s="152">
        <f>3208.4+M24</f>
        <v>3208.4</v>
      </c>
      <c r="N4" s="153">
        <v>3910.88</v>
      </c>
      <c r="O4" s="153">
        <v>2550</v>
      </c>
      <c r="P4" s="152">
        <v>4225.95</v>
      </c>
      <c r="Q4" s="152">
        <v>3698.36</v>
      </c>
      <c r="R4" s="152">
        <v>2010</v>
      </c>
      <c r="S4" s="152">
        <v>1584</v>
      </c>
      <c r="T4" s="152">
        <v>3853</v>
      </c>
    </row>
    <row r="5" spans="1:21" s="165" customFormat="1" x14ac:dyDescent="0.2">
      <c r="A5" s="170" t="s">
        <v>232</v>
      </c>
      <c r="B5" s="161" t="s">
        <v>40</v>
      </c>
      <c r="C5" s="161" t="s">
        <v>201</v>
      </c>
      <c r="D5" s="161" t="s">
        <v>15</v>
      </c>
      <c r="E5" s="162">
        <v>53</v>
      </c>
      <c r="F5" s="159">
        <v>50</v>
      </c>
      <c r="G5" s="159">
        <v>0</v>
      </c>
      <c r="H5" s="159">
        <v>197.2</v>
      </c>
      <c r="I5" s="159">
        <v>339.3</v>
      </c>
      <c r="J5" s="159">
        <v>325</v>
      </c>
      <c r="K5" s="159">
        <v>767.29</v>
      </c>
      <c r="L5" s="159">
        <v>213</v>
      </c>
      <c r="M5" s="159">
        <f>+M22</f>
        <v>0</v>
      </c>
      <c r="N5" s="163">
        <v>610.28</v>
      </c>
      <c r="O5" s="163"/>
      <c r="P5" s="159"/>
      <c r="Q5" s="159"/>
      <c r="R5" s="159"/>
      <c r="S5" s="159"/>
      <c r="T5" s="159"/>
    </row>
    <row r="6" spans="1:21" s="165" customFormat="1" x14ac:dyDescent="0.2">
      <c r="A6" s="170" t="s">
        <v>233</v>
      </c>
      <c r="B6" s="161" t="s">
        <v>40</v>
      </c>
      <c r="C6" s="161" t="s">
        <v>238</v>
      </c>
      <c r="D6" s="161" t="s">
        <v>15</v>
      </c>
      <c r="E6" s="162">
        <v>56</v>
      </c>
      <c r="F6" s="159">
        <v>0</v>
      </c>
      <c r="G6" s="159">
        <v>0</v>
      </c>
      <c r="H6" s="159">
        <v>0</v>
      </c>
      <c r="I6" s="159">
        <v>0</v>
      </c>
      <c r="J6" s="159">
        <v>0</v>
      </c>
      <c r="K6" s="159">
        <v>0</v>
      </c>
      <c r="L6" s="159">
        <v>200</v>
      </c>
      <c r="M6" s="159">
        <f>747.68+M25</f>
        <v>747.68</v>
      </c>
      <c r="N6" s="163"/>
      <c r="O6" s="163">
        <v>759.91</v>
      </c>
      <c r="P6" s="159">
        <v>853.91</v>
      </c>
      <c r="Q6" s="159">
        <v>660.58</v>
      </c>
      <c r="R6" s="159">
        <f>660+362+183</f>
        <v>1205</v>
      </c>
      <c r="S6" s="159">
        <f>81+23</f>
        <v>104</v>
      </c>
      <c r="T6" s="159">
        <f>369+100+500+700</f>
        <v>1669</v>
      </c>
    </row>
    <row r="7" spans="1:21" s="165" customFormat="1" ht="13.5" thickBot="1" x14ac:dyDescent="0.25">
      <c r="A7" s="170" t="s">
        <v>236</v>
      </c>
      <c r="B7" s="161" t="s">
        <v>40</v>
      </c>
      <c r="C7" s="150" t="s">
        <v>261</v>
      </c>
      <c r="D7" s="161" t="s">
        <v>15</v>
      </c>
      <c r="E7" s="162">
        <v>56</v>
      </c>
      <c r="F7" s="159">
        <v>250</v>
      </c>
      <c r="G7" s="159">
        <v>81.569999999999993</v>
      </c>
      <c r="H7" s="159">
        <v>0</v>
      </c>
      <c r="I7" s="159">
        <v>0</v>
      </c>
      <c r="J7" s="159">
        <v>0</v>
      </c>
      <c r="K7" s="159">
        <v>0</v>
      </c>
      <c r="L7" s="159">
        <v>695</v>
      </c>
      <c r="M7" s="159">
        <f>747.68+M26</f>
        <v>747.68</v>
      </c>
      <c r="N7" s="167"/>
      <c r="O7" s="167">
        <v>759.91</v>
      </c>
      <c r="P7" s="159">
        <v>853.91</v>
      </c>
      <c r="Q7" s="159">
        <v>660.58</v>
      </c>
      <c r="R7" s="159">
        <f>660+362+183</f>
        <v>1205</v>
      </c>
      <c r="S7" s="159">
        <f>81+23</f>
        <v>104</v>
      </c>
      <c r="T7" s="159">
        <f>369+100+500+700</f>
        <v>1669</v>
      </c>
    </row>
    <row r="8" spans="1:21" s="176" customFormat="1" ht="14.25" thickTop="1" thickBot="1" x14ac:dyDescent="0.25">
      <c r="A8" s="171" t="s">
        <v>234</v>
      </c>
      <c r="B8" s="172" t="s">
        <v>40</v>
      </c>
      <c r="C8" s="245" t="s">
        <v>254</v>
      </c>
      <c r="D8" s="172" t="s">
        <v>76</v>
      </c>
      <c r="E8" s="173">
        <v>10</v>
      </c>
      <c r="F8" s="174">
        <v>3500</v>
      </c>
      <c r="G8" s="174">
        <v>2285.87</v>
      </c>
      <c r="H8" s="174">
        <v>0</v>
      </c>
      <c r="I8" s="174">
        <v>2764.72</v>
      </c>
      <c r="J8" s="174">
        <v>2408.56</v>
      </c>
      <c r="K8" s="221">
        <v>3252</v>
      </c>
      <c r="L8" s="221">
        <v>2425</v>
      </c>
      <c r="M8" s="174">
        <f>2901+M27</f>
        <v>2901</v>
      </c>
      <c r="N8" s="175">
        <v>3107</v>
      </c>
      <c r="O8" s="175">
        <v>2036</v>
      </c>
      <c r="P8" s="174">
        <v>2120</v>
      </c>
      <c r="Q8" s="174">
        <v>1665</v>
      </c>
      <c r="R8" s="174">
        <v>1130</v>
      </c>
      <c r="S8" s="174">
        <v>1323</v>
      </c>
      <c r="T8" s="174">
        <v>1580</v>
      </c>
      <c r="U8" s="176">
        <v>0</v>
      </c>
    </row>
    <row r="9" spans="1:21" s="154" customFormat="1" ht="13.5" thickTop="1" x14ac:dyDescent="0.2">
      <c r="A9" s="169" t="s">
        <v>235</v>
      </c>
      <c r="B9" s="150" t="s">
        <v>40</v>
      </c>
      <c r="C9" s="245" t="s">
        <v>254</v>
      </c>
      <c r="D9" s="150" t="s">
        <v>76</v>
      </c>
      <c r="E9" s="151">
        <v>11</v>
      </c>
      <c r="F9" s="152">
        <v>0</v>
      </c>
      <c r="G9" s="152">
        <v>0</v>
      </c>
      <c r="H9" s="152">
        <v>0</v>
      </c>
      <c r="I9" s="152">
        <v>4050</v>
      </c>
      <c r="J9" s="152">
        <v>2803.15</v>
      </c>
      <c r="K9" s="159">
        <v>2733</v>
      </c>
      <c r="L9" s="159">
        <v>4003.32</v>
      </c>
      <c r="M9" s="152">
        <f>2068+M28</f>
        <v>2068</v>
      </c>
      <c r="N9" s="153">
        <v>2809</v>
      </c>
      <c r="O9" s="153">
        <v>2339</v>
      </c>
      <c r="P9" s="152">
        <v>2135</v>
      </c>
      <c r="Q9" s="152">
        <v>1835</v>
      </c>
      <c r="R9" s="152">
        <v>1160</v>
      </c>
      <c r="S9" s="152">
        <v>1666</v>
      </c>
      <c r="T9" s="152">
        <v>3120</v>
      </c>
    </row>
    <row r="10" spans="1:21" s="168" customFormat="1" x14ac:dyDescent="0.2">
      <c r="A10" s="169" t="s">
        <v>232</v>
      </c>
      <c r="B10" s="150" t="s">
        <v>40</v>
      </c>
      <c r="C10" s="161" t="s">
        <v>201</v>
      </c>
      <c r="D10" s="150" t="s">
        <v>76</v>
      </c>
      <c r="E10" s="151">
        <v>9</v>
      </c>
      <c r="F10" s="152">
        <v>50</v>
      </c>
      <c r="G10" s="152">
        <v>250</v>
      </c>
      <c r="H10" s="152">
        <v>160</v>
      </c>
      <c r="I10" s="152">
        <v>330</v>
      </c>
      <c r="J10" s="152">
        <v>372.55</v>
      </c>
      <c r="K10" s="159">
        <v>170</v>
      </c>
      <c r="L10" s="159">
        <v>240</v>
      </c>
      <c r="M10" s="152">
        <f>+M26</f>
        <v>0</v>
      </c>
      <c r="N10" s="152"/>
      <c r="O10" s="152"/>
      <c r="P10" s="152"/>
      <c r="Q10" s="152"/>
      <c r="R10" s="152"/>
      <c r="S10" s="152"/>
      <c r="T10" s="152"/>
    </row>
    <row r="11" spans="1:21" s="154" customFormat="1" x14ac:dyDescent="0.2">
      <c r="A11" s="169" t="s">
        <v>233</v>
      </c>
      <c r="B11" s="150" t="s">
        <v>40</v>
      </c>
      <c r="C11" s="161" t="s">
        <v>238</v>
      </c>
      <c r="D11" s="150" t="s">
        <v>76</v>
      </c>
      <c r="E11" s="151"/>
      <c r="F11" s="152">
        <v>0</v>
      </c>
      <c r="G11" s="152">
        <v>0</v>
      </c>
      <c r="H11" s="152">
        <v>0</v>
      </c>
      <c r="I11" s="152">
        <v>0</v>
      </c>
      <c r="J11" s="152">
        <v>0</v>
      </c>
      <c r="K11" s="159">
        <v>0</v>
      </c>
      <c r="L11" s="159">
        <v>0</v>
      </c>
      <c r="M11" s="152"/>
      <c r="N11" s="155"/>
      <c r="O11" s="155"/>
      <c r="P11" s="152"/>
      <c r="Q11" s="152"/>
      <c r="R11" s="152"/>
      <c r="S11" s="152"/>
      <c r="T11" s="152"/>
    </row>
    <row r="12" spans="1:21" s="198" customFormat="1" x14ac:dyDescent="0.2">
      <c r="A12" s="225" t="s">
        <v>236</v>
      </c>
      <c r="B12" s="218" t="s">
        <v>40</v>
      </c>
      <c r="C12" s="150" t="s">
        <v>261</v>
      </c>
      <c r="D12" s="218" t="s">
        <v>76</v>
      </c>
      <c r="E12" s="219">
        <v>12</v>
      </c>
      <c r="F12" s="211">
        <v>250</v>
      </c>
      <c r="G12" s="211">
        <v>0</v>
      </c>
      <c r="H12" s="211">
        <v>0</v>
      </c>
      <c r="I12" s="211">
        <v>0</v>
      </c>
      <c r="J12" s="211">
        <v>0</v>
      </c>
      <c r="K12" s="211">
        <v>0</v>
      </c>
      <c r="L12" s="211">
        <v>0</v>
      </c>
      <c r="M12" s="211">
        <f>395+M29</f>
        <v>395</v>
      </c>
      <c r="N12" s="223">
        <v>315</v>
      </c>
      <c r="O12" s="223">
        <v>569</v>
      </c>
      <c r="P12" s="211">
        <v>260</v>
      </c>
      <c r="Q12" s="211">
        <v>140</v>
      </c>
      <c r="R12" s="211">
        <f>560+175</f>
        <v>735</v>
      </c>
      <c r="S12" s="211"/>
      <c r="T12" s="211">
        <v>485</v>
      </c>
    </row>
    <row r="13" spans="1:21" x14ac:dyDescent="0.2">
      <c r="A13" s="13" t="s">
        <v>149</v>
      </c>
      <c r="F13" s="29">
        <f t="shared" ref="F13:K13" si="0">+F15+F14</f>
        <v>-1000</v>
      </c>
      <c r="G13" s="29">
        <f t="shared" si="0"/>
        <v>-2078.3899999999994</v>
      </c>
      <c r="H13" s="29">
        <f t="shared" si="0"/>
        <v>-537.20000000000005</v>
      </c>
      <c r="I13" s="29">
        <f t="shared" si="0"/>
        <v>-581.58000000000084</v>
      </c>
      <c r="J13" s="29">
        <f t="shared" si="0"/>
        <v>-2250.9699999999993</v>
      </c>
      <c r="K13" s="29">
        <f t="shared" si="0"/>
        <v>-5678.1100000000006</v>
      </c>
      <c r="L13" s="29">
        <f t="shared" ref="L13:T13" si="1">+L15+L14</f>
        <v>-4781.8899999999994</v>
      </c>
      <c r="M13" s="29">
        <f t="shared" si="1"/>
        <v>-3809.76</v>
      </c>
      <c r="N13" s="29">
        <f t="shared" si="1"/>
        <v>-2978.7700000000004</v>
      </c>
      <c r="O13" s="29">
        <f t="shared" si="1"/>
        <v>-1400.8199999999997</v>
      </c>
      <c r="P13" s="29">
        <f t="shared" si="1"/>
        <v>-3657.5399999999991</v>
      </c>
      <c r="Q13" s="29">
        <f t="shared" si="1"/>
        <v>-3555.9400000000005</v>
      </c>
      <c r="R13" s="29">
        <f t="shared" si="1"/>
        <v>-2780</v>
      </c>
      <c r="S13" s="29">
        <f t="shared" si="1"/>
        <v>-729</v>
      </c>
      <c r="T13" s="29">
        <f t="shared" si="1"/>
        <v>-2137</v>
      </c>
    </row>
    <row r="14" spans="1:21" x14ac:dyDescent="0.2">
      <c r="A14" s="13" t="s">
        <v>75</v>
      </c>
      <c r="F14" s="29">
        <f t="shared" ref="F14:K14" si="2">SUM(F8:F12)</f>
        <v>3800</v>
      </c>
      <c r="G14" s="29">
        <f t="shared" si="2"/>
        <v>2535.87</v>
      </c>
      <c r="H14" s="29">
        <f t="shared" si="2"/>
        <v>160</v>
      </c>
      <c r="I14" s="29">
        <f t="shared" si="2"/>
        <v>7144.7199999999993</v>
      </c>
      <c r="J14" s="29">
        <f t="shared" si="2"/>
        <v>5584.26</v>
      </c>
      <c r="K14" s="29">
        <f t="shared" si="2"/>
        <v>6155</v>
      </c>
      <c r="L14" s="29">
        <f t="shared" ref="L14:T14" si="3">SUM(L8:L12)</f>
        <v>6668.32</v>
      </c>
      <c r="M14" s="29">
        <f t="shared" si="3"/>
        <v>5364</v>
      </c>
      <c r="N14" s="29">
        <f t="shared" si="3"/>
        <v>6231</v>
      </c>
      <c r="O14" s="29">
        <f t="shared" si="3"/>
        <v>4944</v>
      </c>
      <c r="P14" s="29">
        <f t="shared" si="3"/>
        <v>4515</v>
      </c>
      <c r="Q14" s="29">
        <f t="shared" si="3"/>
        <v>3640</v>
      </c>
      <c r="R14" s="29">
        <f t="shared" si="3"/>
        <v>3025</v>
      </c>
      <c r="S14" s="29">
        <f t="shared" si="3"/>
        <v>2989</v>
      </c>
      <c r="T14" s="29">
        <f t="shared" si="3"/>
        <v>5185</v>
      </c>
    </row>
    <row r="15" spans="1:21" x14ac:dyDescent="0.2">
      <c r="A15" s="13" t="s">
        <v>14</v>
      </c>
      <c r="F15" s="29">
        <f t="shared" ref="F15:K15" si="4">-SUM(F3:F7)</f>
        <v>-4800</v>
      </c>
      <c r="G15" s="29">
        <f t="shared" si="4"/>
        <v>-4614.2599999999993</v>
      </c>
      <c r="H15" s="29">
        <f t="shared" si="4"/>
        <v>-697.2</v>
      </c>
      <c r="I15" s="29">
        <f t="shared" si="4"/>
        <v>-7726.3</v>
      </c>
      <c r="J15" s="29">
        <f t="shared" si="4"/>
        <v>-7835.23</v>
      </c>
      <c r="K15" s="29">
        <f t="shared" si="4"/>
        <v>-11833.11</v>
      </c>
      <c r="L15" s="29">
        <f t="shared" ref="L15:T15" si="5">-SUM(L3:L7)</f>
        <v>-11450.21</v>
      </c>
      <c r="M15" s="29">
        <f t="shared" si="5"/>
        <v>-9173.76</v>
      </c>
      <c r="N15" s="29">
        <f t="shared" si="5"/>
        <v>-9209.77</v>
      </c>
      <c r="O15" s="29">
        <f t="shared" si="5"/>
        <v>-6344.82</v>
      </c>
      <c r="P15" s="29">
        <f t="shared" si="5"/>
        <v>-8172.5399999999991</v>
      </c>
      <c r="Q15" s="29">
        <f t="shared" si="5"/>
        <v>-7195.9400000000005</v>
      </c>
      <c r="R15" s="29">
        <f t="shared" si="5"/>
        <v>-5805</v>
      </c>
      <c r="S15" s="29">
        <f t="shared" si="5"/>
        <v>-3718</v>
      </c>
      <c r="T15" s="29">
        <f t="shared" si="5"/>
        <v>-7322</v>
      </c>
    </row>
    <row r="20" spans="1:13" x14ac:dyDescent="0.2">
      <c r="A20" s="267" t="s">
        <v>209</v>
      </c>
      <c r="B20" s="267"/>
      <c r="C20" s="267"/>
      <c r="D20" s="267"/>
      <c r="E20" s="145"/>
      <c r="F20" s="113" t="s">
        <v>3</v>
      </c>
      <c r="G20" s="113" t="s">
        <v>3</v>
      </c>
      <c r="H20" s="113" t="s">
        <v>3</v>
      </c>
      <c r="I20" s="113" t="s">
        <v>3</v>
      </c>
      <c r="J20" s="113" t="s">
        <v>3</v>
      </c>
      <c r="K20" s="4" t="s">
        <v>4</v>
      </c>
      <c r="L20" s="4" t="s">
        <v>4</v>
      </c>
      <c r="M20" s="4" t="s">
        <v>4</v>
      </c>
    </row>
    <row r="21" spans="1:13" x14ac:dyDescent="0.2">
      <c r="A21" s="116" t="s">
        <v>6</v>
      </c>
      <c r="B21" s="116" t="s">
        <v>7</v>
      </c>
      <c r="C21" s="116" t="s">
        <v>8</v>
      </c>
      <c r="D21" s="116" t="s">
        <v>9</v>
      </c>
      <c r="E21" s="145" t="s">
        <v>143</v>
      </c>
      <c r="F21" s="117">
        <f t="shared" ref="F21:K21" si="6">F2</f>
        <v>2022</v>
      </c>
      <c r="G21" s="117">
        <f t="shared" si="6"/>
        <v>2021</v>
      </c>
      <c r="H21" s="117">
        <f t="shared" si="6"/>
        <v>2020</v>
      </c>
      <c r="I21" s="117">
        <f t="shared" si="6"/>
        <v>2019</v>
      </c>
      <c r="J21" s="117">
        <f t="shared" si="6"/>
        <v>2018</v>
      </c>
      <c r="K21" s="117">
        <f t="shared" si="6"/>
        <v>2017</v>
      </c>
      <c r="L21" s="117">
        <v>2016</v>
      </c>
      <c r="M21" s="117">
        <v>2015</v>
      </c>
    </row>
    <row r="22" spans="1:13" x14ac:dyDescent="0.2">
      <c r="A22" s="90" t="s">
        <v>200</v>
      </c>
      <c r="B22" s="90" t="s">
        <v>40</v>
      </c>
      <c r="C22" s="90" t="s">
        <v>201</v>
      </c>
      <c r="D22" s="90" t="s">
        <v>15</v>
      </c>
      <c r="E22" s="147">
        <v>53</v>
      </c>
      <c r="F22" s="103">
        <v>0</v>
      </c>
      <c r="G22" s="103">
        <v>0</v>
      </c>
      <c r="H22" s="103">
        <v>0</v>
      </c>
      <c r="I22" s="103">
        <v>0</v>
      </c>
      <c r="J22" s="103">
        <v>170</v>
      </c>
      <c r="K22" s="103">
        <v>170</v>
      </c>
      <c r="L22" s="103">
        <v>450</v>
      </c>
      <c r="M22" s="110">
        <v>0</v>
      </c>
    </row>
    <row r="23" spans="1:13" x14ac:dyDescent="0.2">
      <c r="A23" s="90" t="s">
        <v>39</v>
      </c>
      <c r="B23" s="90" t="s">
        <v>40</v>
      </c>
      <c r="C23" s="90"/>
      <c r="D23" s="90" t="s">
        <v>15</v>
      </c>
      <c r="E23" s="147">
        <v>54</v>
      </c>
      <c r="F23" s="103">
        <v>0</v>
      </c>
      <c r="G23" s="103">
        <v>0</v>
      </c>
      <c r="H23" s="103">
        <v>0</v>
      </c>
      <c r="I23" s="103">
        <v>0</v>
      </c>
      <c r="J23" s="103">
        <v>2700</v>
      </c>
      <c r="K23" s="103">
        <v>2700</v>
      </c>
      <c r="L23" s="103">
        <v>2700</v>
      </c>
      <c r="M23" s="110">
        <v>0</v>
      </c>
    </row>
    <row r="24" spans="1:13" x14ac:dyDescent="0.2">
      <c r="A24" s="90" t="s">
        <v>41</v>
      </c>
      <c r="B24" s="90" t="s">
        <v>40</v>
      </c>
      <c r="C24" s="90"/>
      <c r="D24" s="90" t="s">
        <v>15</v>
      </c>
      <c r="E24" s="147">
        <v>55</v>
      </c>
      <c r="F24" s="103">
        <v>0</v>
      </c>
      <c r="G24" s="103">
        <v>0</v>
      </c>
      <c r="H24" s="103">
        <v>0</v>
      </c>
      <c r="I24" s="103">
        <v>0</v>
      </c>
      <c r="J24" s="103">
        <f>2900+196</f>
        <v>3096</v>
      </c>
      <c r="K24" s="103">
        <f>2900+196</f>
        <v>3096</v>
      </c>
      <c r="L24" s="103">
        <f>2900+196</f>
        <v>3096</v>
      </c>
      <c r="M24" s="110">
        <v>0</v>
      </c>
    </row>
    <row r="25" spans="1:13" x14ac:dyDescent="0.2">
      <c r="A25" s="90" t="s">
        <v>202</v>
      </c>
      <c r="B25" s="90" t="s">
        <v>40</v>
      </c>
      <c r="C25" s="90" t="s">
        <v>203</v>
      </c>
      <c r="D25" s="90" t="s">
        <v>15</v>
      </c>
      <c r="E25" s="147">
        <v>56</v>
      </c>
      <c r="F25" s="103">
        <v>0</v>
      </c>
      <c r="G25" s="103">
        <v>0</v>
      </c>
      <c r="H25" s="103">
        <v>0</v>
      </c>
      <c r="I25" s="103">
        <v>0</v>
      </c>
      <c r="J25" s="103">
        <v>450</v>
      </c>
      <c r="K25" s="103">
        <v>450</v>
      </c>
      <c r="L25" s="103">
        <v>450</v>
      </c>
      <c r="M25" s="110">
        <v>0</v>
      </c>
    </row>
    <row r="26" spans="1:13" x14ac:dyDescent="0.2">
      <c r="A26" s="90" t="s">
        <v>200</v>
      </c>
      <c r="B26" s="90" t="s">
        <v>40</v>
      </c>
      <c r="C26" s="90" t="s">
        <v>204</v>
      </c>
      <c r="D26" s="90" t="s">
        <v>76</v>
      </c>
      <c r="E26" s="147">
        <v>9</v>
      </c>
      <c r="F26" s="103">
        <v>0</v>
      </c>
      <c r="G26" s="103">
        <v>0</v>
      </c>
      <c r="H26" s="103">
        <v>0</v>
      </c>
      <c r="I26" s="103">
        <v>0</v>
      </c>
      <c r="J26" s="103">
        <v>350</v>
      </c>
      <c r="K26" s="103">
        <v>350</v>
      </c>
      <c r="L26" s="103">
        <v>350</v>
      </c>
      <c r="M26" s="110">
        <v>0</v>
      </c>
    </row>
    <row r="27" spans="1:13" x14ac:dyDescent="0.2">
      <c r="A27" s="90" t="s">
        <v>39</v>
      </c>
      <c r="B27" s="90" t="s">
        <v>40</v>
      </c>
      <c r="C27" s="90"/>
      <c r="D27" s="90" t="s">
        <v>76</v>
      </c>
      <c r="E27" s="147">
        <v>10</v>
      </c>
      <c r="F27" s="103">
        <v>0</v>
      </c>
      <c r="G27" s="103">
        <v>0</v>
      </c>
      <c r="H27" s="103">
        <v>0</v>
      </c>
      <c r="I27" s="103">
        <v>0</v>
      </c>
      <c r="J27" s="103">
        <v>2100</v>
      </c>
      <c r="K27" s="103">
        <v>2100</v>
      </c>
      <c r="L27" s="103">
        <v>2100</v>
      </c>
      <c r="M27" s="110">
        <v>0</v>
      </c>
    </row>
    <row r="28" spans="1:13" x14ac:dyDescent="0.2">
      <c r="A28" s="90" t="s">
        <v>41</v>
      </c>
      <c r="B28" s="90" t="s">
        <v>40</v>
      </c>
      <c r="C28" s="90"/>
      <c r="D28" s="90" t="s">
        <v>76</v>
      </c>
      <c r="E28" s="147">
        <v>11</v>
      </c>
      <c r="F28" s="103">
        <v>0</v>
      </c>
      <c r="G28" s="103">
        <v>0</v>
      </c>
      <c r="H28" s="103">
        <v>0</v>
      </c>
      <c r="I28" s="103">
        <v>0</v>
      </c>
      <c r="J28" s="103">
        <v>2300</v>
      </c>
      <c r="K28" s="103">
        <v>2300</v>
      </c>
      <c r="L28" s="103">
        <v>2300</v>
      </c>
      <c r="M28" s="110">
        <v>0</v>
      </c>
    </row>
    <row r="29" spans="1:13" x14ac:dyDescent="0.2">
      <c r="A29" s="90" t="s">
        <v>202</v>
      </c>
      <c r="B29" s="90" t="s">
        <v>40</v>
      </c>
      <c r="C29" s="90" t="s">
        <v>205</v>
      </c>
      <c r="D29" s="90" t="s">
        <v>76</v>
      </c>
      <c r="E29" s="147">
        <v>12</v>
      </c>
      <c r="F29" s="103">
        <v>0</v>
      </c>
      <c r="G29" s="103">
        <v>0</v>
      </c>
      <c r="H29" s="103">
        <v>0</v>
      </c>
      <c r="I29" s="103">
        <v>0</v>
      </c>
      <c r="J29" s="103">
        <v>350</v>
      </c>
      <c r="K29" s="103">
        <v>350</v>
      </c>
      <c r="L29" s="103">
        <v>350</v>
      </c>
      <c r="M29" s="110">
        <v>0</v>
      </c>
    </row>
    <row r="31" spans="1:13" x14ac:dyDescent="0.2">
      <c r="A31" t="s">
        <v>215</v>
      </c>
      <c r="M31" s="29">
        <f>SUM(M22:M25)</f>
        <v>0</v>
      </c>
    </row>
    <row r="32" spans="1:13" x14ac:dyDescent="0.2">
      <c r="A32" t="s">
        <v>216</v>
      </c>
      <c r="M32" s="29">
        <f>SUM(M26:M29)</f>
        <v>0</v>
      </c>
    </row>
    <row r="33" spans="1:13" x14ac:dyDescent="0.2">
      <c r="A33" t="s">
        <v>217</v>
      </c>
      <c r="M33" s="143">
        <f>+M32-M31</f>
        <v>0</v>
      </c>
    </row>
  </sheetData>
  <sheetProtection selectLockedCells="1" selectUnlockedCells="1"/>
  <customSheetViews>
    <customSheetView guid="{2689D123-C182-4EB2-AD12-2EBB4C48D466}">
      <selection activeCell="G8" sqref="G8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  <customSheetView guid="{66341D55-D973-4BB5-9B70-DB158BEA4662}" hiddenRows="1" hiddenColumns="1">
      <selection activeCell="A18" sqref="A18:G31"/>
      <pageMargins left="0.75" right="0.75" top="1" bottom="1" header="0.51180555555555551" footer="0.51180555555555551"/>
      <pageSetup firstPageNumber="0" orientation="portrait" horizontalDpi="300" verticalDpi="300" r:id="rId1"/>
      <headerFooter alignWithMargins="0"/>
    </customSheetView>
  </customSheetViews>
  <mergeCells count="3">
    <mergeCell ref="A1:D1"/>
    <mergeCell ref="R1:T1"/>
    <mergeCell ref="A20:D20"/>
  </mergeCells>
  <phoneticPr fontId="9" type="noConversion"/>
  <pageMargins left="0.75" right="0.75" top="1" bottom="1" header="0.51180555555555551" footer="0.51180555555555551"/>
  <pageSetup firstPageNumber="0" orientation="landscape" r:id="rId2"/>
  <headerFooter alignWithMargins="0">
    <oddHeader>&amp;CSOCIAL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8"/>
  </sheetPr>
  <dimension ref="A1:T29"/>
  <sheetViews>
    <sheetView zoomScaleNormal="100" workbookViewId="0">
      <selection activeCell="G36" sqref="G36"/>
    </sheetView>
  </sheetViews>
  <sheetFormatPr defaultRowHeight="12.75" x14ac:dyDescent="0.2"/>
  <cols>
    <col min="1" max="1" width="25.28515625" customWidth="1"/>
    <col min="2" max="2" width="10.5703125" hidden="1" customWidth="1"/>
    <col min="3" max="3" width="11.28515625" hidden="1" customWidth="1"/>
    <col min="4" max="4" width="15.42578125" bestFit="1" customWidth="1"/>
    <col min="5" max="5" width="5.28515625" style="146" hidden="1" customWidth="1"/>
    <col min="6" max="11" width="11.28515625" style="69" customWidth="1"/>
    <col min="12" max="12" width="9.28515625" style="69" bestFit="1" customWidth="1"/>
    <col min="13" max="13" width="9.28515625" style="69" hidden="1" customWidth="1"/>
    <col min="14" max="14" width="8.7109375" style="69" hidden="1" customWidth="1"/>
    <col min="15" max="16" width="10.28515625" hidden="1" customWidth="1"/>
    <col min="17" max="17" width="10.85546875" hidden="1" customWidth="1"/>
    <col min="18" max="20" width="10.7109375" hidden="1" customWidth="1"/>
  </cols>
  <sheetData>
    <row r="1" spans="1:20" s="115" customFormat="1" ht="13.5" customHeight="1" x14ac:dyDescent="0.25">
      <c r="A1" s="265" t="s">
        <v>0</v>
      </c>
      <c r="B1" s="265"/>
      <c r="C1" s="265"/>
      <c r="D1" s="265"/>
      <c r="E1" s="145"/>
      <c r="F1" s="113" t="s">
        <v>3</v>
      </c>
      <c r="G1" s="4" t="s">
        <v>4</v>
      </c>
      <c r="H1" s="4" t="s">
        <v>4</v>
      </c>
      <c r="I1" s="4" t="s">
        <v>4</v>
      </c>
      <c r="J1" s="4" t="s">
        <v>4</v>
      </c>
      <c r="K1" s="4" t="s">
        <v>4</v>
      </c>
      <c r="L1" s="4" t="s">
        <v>4</v>
      </c>
      <c r="M1" s="4" t="s">
        <v>4</v>
      </c>
      <c r="N1" s="113" t="s">
        <v>4</v>
      </c>
      <c r="O1" s="113" t="s">
        <v>4</v>
      </c>
      <c r="P1" s="114" t="s">
        <v>4</v>
      </c>
      <c r="Q1" s="113" t="s">
        <v>4</v>
      </c>
      <c r="R1" s="266" t="s">
        <v>5</v>
      </c>
      <c r="S1" s="266"/>
      <c r="T1" s="266"/>
    </row>
    <row r="2" spans="1:20" s="115" customFormat="1" ht="13.5" customHeight="1" x14ac:dyDescent="0.25">
      <c r="A2" s="116" t="s">
        <v>6</v>
      </c>
      <c r="B2" s="116" t="s">
        <v>7</v>
      </c>
      <c r="C2" s="116" t="s">
        <v>8</v>
      </c>
      <c r="D2" s="116" t="s">
        <v>9</v>
      </c>
      <c r="E2" s="145" t="s">
        <v>143</v>
      </c>
      <c r="F2" s="117">
        <v>2022</v>
      </c>
      <c r="G2" s="117">
        <v>2021</v>
      </c>
      <c r="H2" s="117">
        <v>2020</v>
      </c>
      <c r="I2" s="117">
        <v>2019</v>
      </c>
      <c r="J2" s="117">
        <v>2018</v>
      </c>
      <c r="K2" s="117">
        <v>2017</v>
      </c>
      <c r="L2" s="117">
        <v>2016</v>
      </c>
      <c r="M2" s="117">
        <v>2015</v>
      </c>
      <c r="N2" s="117">
        <v>2014</v>
      </c>
      <c r="O2" s="117">
        <v>2013</v>
      </c>
      <c r="P2" s="108">
        <v>2012</v>
      </c>
      <c r="Q2" s="117">
        <v>2011</v>
      </c>
      <c r="R2" s="106">
        <v>2010</v>
      </c>
      <c r="S2" s="106">
        <v>2009</v>
      </c>
      <c r="T2" s="106">
        <v>2008</v>
      </c>
    </row>
    <row r="3" spans="1:20" s="198" customFormat="1" x14ac:dyDescent="0.2">
      <c r="A3" s="218" t="s">
        <v>206</v>
      </c>
      <c r="B3" s="218" t="s">
        <v>207</v>
      </c>
      <c r="C3" s="218"/>
      <c r="D3" s="218" t="s">
        <v>15</v>
      </c>
      <c r="E3" s="219">
        <v>76</v>
      </c>
      <c r="F3" s="211">
        <v>0</v>
      </c>
      <c r="G3" s="211">
        <v>0</v>
      </c>
      <c r="H3" s="211">
        <v>0</v>
      </c>
      <c r="I3" s="211">
        <f>+I18</f>
        <v>0</v>
      </c>
      <c r="J3" s="211">
        <f>+J18</f>
        <v>0</v>
      </c>
      <c r="K3" s="211">
        <f>+K18</f>
        <v>0</v>
      </c>
      <c r="L3" s="211">
        <f>+L18</f>
        <v>0</v>
      </c>
      <c r="M3" s="211">
        <f>+M18</f>
        <v>0</v>
      </c>
      <c r="N3" s="211"/>
      <c r="O3" s="211"/>
      <c r="P3" s="211"/>
      <c r="Q3" s="211"/>
      <c r="R3" s="211">
        <v>1585</v>
      </c>
      <c r="S3" s="211">
        <v>874</v>
      </c>
      <c r="T3" s="211">
        <v>2392</v>
      </c>
    </row>
    <row r="4" spans="1:20" s="198" customFormat="1" x14ac:dyDescent="0.2">
      <c r="A4" s="218" t="s">
        <v>70</v>
      </c>
      <c r="B4" s="218" t="s">
        <v>207</v>
      </c>
      <c r="C4" s="218"/>
      <c r="D4" s="218" t="s">
        <v>15</v>
      </c>
      <c r="E4" s="219">
        <v>77</v>
      </c>
      <c r="F4" s="211">
        <v>0</v>
      </c>
      <c r="G4" s="211">
        <f>+G19</f>
        <v>0</v>
      </c>
      <c r="H4" s="211">
        <f>+H19</f>
        <v>0</v>
      </c>
      <c r="I4" s="211">
        <f>+I19</f>
        <v>0</v>
      </c>
      <c r="J4" s="211">
        <f>+J19</f>
        <v>0</v>
      </c>
      <c r="K4" s="211">
        <f t="shared" ref="K4:L10" si="0">+K19</f>
        <v>0</v>
      </c>
      <c r="L4" s="211">
        <f t="shared" si="0"/>
        <v>0</v>
      </c>
      <c r="M4" s="211">
        <f>+M19</f>
        <v>0</v>
      </c>
      <c r="N4" s="223">
        <v>0</v>
      </c>
      <c r="O4" s="211">
        <v>0</v>
      </c>
      <c r="P4" s="211">
        <v>129.94999999999999</v>
      </c>
      <c r="Q4" s="211">
        <v>9.4499999999999993</v>
      </c>
      <c r="R4" s="211"/>
      <c r="S4" s="211"/>
      <c r="T4" s="211"/>
    </row>
    <row r="5" spans="1:20" s="198" customFormat="1" x14ac:dyDescent="0.2">
      <c r="A5" s="218" t="s">
        <v>72</v>
      </c>
      <c r="B5" s="218" t="s">
        <v>207</v>
      </c>
      <c r="C5" s="218"/>
      <c r="D5" s="218" t="s">
        <v>15</v>
      </c>
      <c r="E5" s="219">
        <v>78</v>
      </c>
      <c r="F5" s="211">
        <v>630</v>
      </c>
      <c r="G5" s="211">
        <v>617.70000000000005</v>
      </c>
      <c r="H5" s="211">
        <v>0</v>
      </c>
      <c r="I5" s="211">
        <v>0</v>
      </c>
      <c r="J5" s="211">
        <v>660.41499999999996</v>
      </c>
      <c r="K5" s="211">
        <v>626.37</v>
      </c>
      <c r="L5" s="211">
        <v>623.41</v>
      </c>
      <c r="M5" s="211">
        <f>665.07+M20</f>
        <v>665.07</v>
      </c>
      <c r="N5" s="223">
        <v>26.21</v>
      </c>
      <c r="O5" s="211">
        <v>591.12</v>
      </c>
      <c r="P5" s="211">
        <v>578.62</v>
      </c>
      <c r="Q5" s="211">
        <v>541.12</v>
      </c>
      <c r="R5" s="211"/>
      <c r="S5" s="211"/>
      <c r="T5" s="211"/>
    </row>
    <row r="6" spans="1:20" s="198" customFormat="1" ht="13.5" thickBot="1" x14ac:dyDescent="0.25">
      <c r="A6" s="218" t="s">
        <v>259</v>
      </c>
      <c r="B6" s="218" t="s">
        <v>207</v>
      </c>
      <c r="C6" s="218"/>
      <c r="D6" s="218" t="s">
        <v>15</v>
      </c>
      <c r="E6" s="219">
        <v>79</v>
      </c>
      <c r="F6" s="211">
        <v>741.5</v>
      </c>
      <c r="G6" s="211">
        <v>741.5</v>
      </c>
      <c r="H6" s="211">
        <v>0</v>
      </c>
      <c r="I6" s="211">
        <v>58.56</v>
      </c>
      <c r="J6" s="211">
        <f t="shared" ref="I6:J8" si="1">+J21</f>
        <v>0</v>
      </c>
      <c r="K6" s="211">
        <f t="shared" si="0"/>
        <v>0</v>
      </c>
      <c r="L6" s="211">
        <f t="shared" si="0"/>
        <v>0</v>
      </c>
      <c r="M6" s="211">
        <f>+M21</f>
        <v>0</v>
      </c>
      <c r="N6" s="223">
        <v>0</v>
      </c>
      <c r="O6" s="211">
        <v>0</v>
      </c>
      <c r="P6" s="211">
        <v>177.71</v>
      </c>
      <c r="Q6" s="211">
        <v>535.85</v>
      </c>
      <c r="R6" s="211"/>
      <c r="S6" s="211"/>
      <c r="T6" s="211"/>
    </row>
    <row r="7" spans="1:20" s="203" customFormat="1" ht="13.5" thickTop="1" x14ac:dyDescent="0.2">
      <c r="A7" s="200" t="s">
        <v>208</v>
      </c>
      <c r="B7" s="200" t="s">
        <v>207</v>
      </c>
      <c r="C7" s="200"/>
      <c r="D7" s="200" t="s">
        <v>76</v>
      </c>
      <c r="E7" s="201">
        <v>27</v>
      </c>
      <c r="F7" s="221">
        <v>0</v>
      </c>
      <c r="G7" s="221">
        <v>0</v>
      </c>
      <c r="H7" s="221">
        <v>0</v>
      </c>
      <c r="I7" s="221">
        <v>0</v>
      </c>
      <c r="J7" s="221">
        <f t="shared" si="1"/>
        <v>0</v>
      </c>
      <c r="K7" s="221">
        <f t="shared" si="0"/>
        <v>0</v>
      </c>
      <c r="L7" s="221">
        <f t="shared" si="0"/>
        <v>0</v>
      </c>
      <c r="M7" s="221">
        <f>+M22</f>
        <v>0</v>
      </c>
      <c r="N7" s="221"/>
      <c r="O7" s="221"/>
      <c r="P7" s="221"/>
      <c r="Q7" s="221"/>
      <c r="R7" s="221">
        <v>1931</v>
      </c>
      <c r="S7" s="221"/>
      <c r="T7" s="221">
        <f>2235+285</f>
        <v>2520</v>
      </c>
    </row>
    <row r="8" spans="1:20" s="198" customFormat="1" x14ac:dyDescent="0.2">
      <c r="A8" s="218" t="s">
        <v>70</v>
      </c>
      <c r="B8" s="218" t="s">
        <v>207</v>
      </c>
      <c r="C8" s="218"/>
      <c r="D8" s="218" t="s">
        <v>76</v>
      </c>
      <c r="E8" s="219">
        <v>28</v>
      </c>
      <c r="F8" s="211">
        <v>0</v>
      </c>
      <c r="G8" s="211">
        <v>0</v>
      </c>
      <c r="H8" s="211">
        <v>0</v>
      </c>
      <c r="I8" s="211">
        <f t="shared" si="1"/>
        <v>0</v>
      </c>
      <c r="J8" s="211">
        <f t="shared" si="1"/>
        <v>0</v>
      </c>
      <c r="K8" s="211">
        <f t="shared" si="0"/>
        <v>0</v>
      </c>
      <c r="L8" s="211">
        <f t="shared" si="0"/>
        <v>0</v>
      </c>
      <c r="M8" s="211">
        <f>197.85+M23</f>
        <v>197.85</v>
      </c>
      <c r="N8" s="223">
        <v>309.8</v>
      </c>
      <c r="O8" s="211">
        <v>937</v>
      </c>
      <c r="P8" s="211">
        <v>778</v>
      </c>
      <c r="Q8" s="211">
        <v>1821.4</v>
      </c>
      <c r="R8" s="211"/>
      <c r="S8" s="211"/>
      <c r="T8" s="211"/>
    </row>
    <row r="9" spans="1:20" s="198" customFormat="1" x14ac:dyDescent="0.2">
      <c r="A9" s="218" t="s">
        <v>72</v>
      </c>
      <c r="B9" s="218" t="s">
        <v>207</v>
      </c>
      <c r="C9" s="218"/>
      <c r="D9" s="218" t="s">
        <v>76</v>
      </c>
      <c r="E9" s="219">
        <v>29</v>
      </c>
      <c r="F9" s="211">
        <v>630</v>
      </c>
      <c r="G9" s="211">
        <v>446.71</v>
      </c>
      <c r="H9" s="211">
        <v>140.63999999999999</v>
      </c>
      <c r="I9" s="211">
        <v>389.62</v>
      </c>
      <c r="J9" s="211">
        <v>473</v>
      </c>
      <c r="K9" s="211">
        <v>382.5</v>
      </c>
      <c r="L9" s="211">
        <v>685</v>
      </c>
      <c r="M9" s="211">
        <v>547.5</v>
      </c>
      <c r="N9" s="223">
        <v>570</v>
      </c>
      <c r="O9" s="211">
        <v>410</v>
      </c>
      <c r="P9" s="211">
        <v>370.5</v>
      </c>
      <c r="Q9" s="211">
        <v>50</v>
      </c>
      <c r="R9" s="211"/>
      <c r="S9" s="211"/>
      <c r="T9" s="211"/>
    </row>
    <row r="10" spans="1:20" s="198" customFormat="1" x14ac:dyDescent="0.2">
      <c r="A10" s="218" t="s">
        <v>260</v>
      </c>
      <c r="B10" s="218" t="s">
        <v>207</v>
      </c>
      <c r="C10" s="218"/>
      <c r="D10" s="218" t="s">
        <v>76</v>
      </c>
      <c r="E10" s="219">
        <v>30</v>
      </c>
      <c r="F10" s="211">
        <v>741.5</v>
      </c>
      <c r="G10" s="211">
        <f>+G25</f>
        <v>0</v>
      </c>
      <c r="H10" s="211">
        <f>+H25</f>
        <v>0</v>
      </c>
      <c r="I10" s="211">
        <f>+I25</f>
        <v>0</v>
      </c>
      <c r="J10" s="211">
        <f>+J25</f>
        <v>0</v>
      </c>
      <c r="K10" s="211">
        <v>40</v>
      </c>
      <c r="L10" s="211">
        <f t="shared" si="0"/>
        <v>0</v>
      </c>
      <c r="M10" s="211">
        <f>+M25</f>
        <v>0</v>
      </c>
      <c r="N10" s="224">
        <v>8</v>
      </c>
      <c r="O10" s="211">
        <v>28</v>
      </c>
      <c r="P10" s="211"/>
      <c r="Q10" s="211"/>
      <c r="R10" s="211"/>
      <c r="S10" s="211"/>
      <c r="T10" s="211"/>
    </row>
    <row r="11" spans="1:20" x14ac:dyDescent="0.2">
      <c r="A11" s="13" t="s">
        <v>149</v>
      </c>
      <c r="F11" s="29">
        <f t="shared" ref="F11:K11" si="2">+F13+F12</f>
        <v>0</v>
      </c>
      <c r="G11" s="29">
        <f t="shared" si="2"/>
        <v>-912.49</v>
      </c>
      <c r="H11" s="29">
        <f t="shared" si="2"/>
        <v>140.63999999999999</v>
      </c>
      <c r="I11" s="29">
        <f t="shared" si="2"/>
        <v>331.06</v>
      </c>
      <c r="J11" s="29">
        <f t="shared" si="2"/>
        <v>-187.41499999999996</v>
      </c>
      <c r="K11" s="29">
        <f t="shared" si="2"/>
        <v>-203.87</v>
      </c>
      <c r="L11" s="29">
        <f t="shared" ref="L11:T11" si="3">+L13+L12</f>
        <v>61.590000000000032</v>
      </c>
      <c r="M11" s="29">
        <f>+M13+M12</f>
        <v>80.279999999999973</v>
      </c>
      <c r="N11" s="29">
        <f t="shared" si="3"/>
        <v>861.58999999999992</v>
      </c>
      <c r="O11" s="29">
        <f t="shared" si="3"/>
        <v>783.88</v>
      </c>
      <c r="P11" s="29">
        <f t="shared" si="3"/>
        <v>262.22000000000003</v>
      </c>
      <c r="Q11" s="29">
        <f t="shared" si="3"/>
        <v>784.98</v>
      </c>
      <c r="R11" s="29">
        <f t="shared" si="3"/>
        <v>346</v>
      </c>
      <c r="S11" s="29">
        <f t="shared" si="3"/>
        <v>-874</v>
      </c>
      <c r="T11" s="29">
        <f t="shared" si="3"/>
        <v>128</v>
      </c>
    </row>
    <row r="12" spans="1:20" x14ac:dyDescent="0.2">
      <c r="A12" s="13" t="s">
        <v>75</v>
      </c>
      <c r="F12" s="29">
        <f t="shared" ref="F12:K12" si="4">SUM(F7:F10)</f>
        <v>1371.5</v>
      </c>
      <c r="G12" s="29">
        <f t="shared" si="4"/>
        <v>446.71</v>
      </c>
      <c r="H12" s="29">
        <f t="shared" si="4"/>
        <v>140.63999999999999</v>
      </c>
      <c r="I12" s="29">
        <f t="shared" si="4"/>
        <v>389.62</v>
      </c>
      <c r="J12" s="29">
        <f t="shared" si="4"/>
        <v>473</v>
      </c>
      <c r="K12" s="29">
        <f t="shared" si="4"/>
        <v>422.5</v>
      </c>
      <c r="L12" s="29">
        <f t="shared" ref="L12:T12" si="5">SUM(L7:L10)</f>
        <v>685</v>
      </c>
      <c r="M12" s="29">
        <f>SUM(M7:M10)</f>
        <v>745.35</v>
      </c>
      <c r="N12" s="29">
        <f t="shared" si="5"/>
        <v>887.8</v>
      </c>
      <c r="O12" s="29">
        <f t="shared" si="5"/>
        <v>1375</v>
      </c>
      <c r="P12" s="29">
        <f t="shared" si="5"/>
        <v>1148.5</v>
      </c>
      <c r="Q12" s="29">
        <f t="shared" si="5"/>
        <v>1871.4</v>
      </c>
      <c r="R12" s="29">
        <f t="shared" si="5"/>
        <v>1931</v>
      </c>
      <c r="S12" s="29">
        <f t="shared" si="5"/>
        <v>0</v>
      </c>
      <c r="T12" s="29">
        <f t="shared" si="5"/>
        <v>2520</v>
      </c>
    </row>
    <row r="13" spans="1:20" x14ac:dyDescent="0.2">
      <c r="A13" s="13" t="s">
        <v>14</v>
      </c>
      <c r="F13" s="29">
        <f t="shared" ref="F13:K13" si="6">-SUM(F3:F6)</f>
        <v>-1371.5</v>
      </c>
      <c r="G13" s="29">
        <f t="shared" si="6"/>
        <v>-1359.2</v>
      </c>
      <c r="H13" s="29">
        <f t="shared" si="6"/>
        <v>0</v>
      </c>
      <c r="I13" s="29">
        <f t="shared" si="6"/>
        <v>-58.56</v>
      </c>
      <c r="J13" s="29">
        <f t="shared" si="6"/>
        <v>-660.41499999999996</v>
      </c>
      <c r="K13" s="29">
        <f t="shared" si="6"/>
        <v>-626.37</v>
      </c>
      <c r="L13" s="29">
        <f t="shared" ref="L13:T13" si="7">-SUM(L3:L6)</f>
        <v>-623.41</v>
      </c>
      <c r="M13" s="29">
        <f>-SUM(M3:M6)</f>
        <v>-665.07</v>
      </c>
      <c r="N13" s="29">
        <f t="shared" si="7"/>
        <v>-26.21</v>
      </c>
      <c r="O13" s="29">
        <f t="shared" si="7"/>
        <v>-591.12</v>
      </c>
      <c r="P13" s="29">
        <f t="shared" si="7"/>
        <v>-886.28</v>
      </c>
      <c r="Q13" s="29">
        <f t="shared" si="7"/>
        <v>-1086.42</v>
      </c>
      <c r="R13" s="29">
        <f t="shared" si="7"/>
        <v>-1585</v>
      </c>
      <c r="S13" s="29">
        <f t="shared" si="7"/>
        <v>-874</v>
      </c>
      <c r="T13" s="29">
        <f t="shared" si="7"/>
        <v>-2392</v>
      </c>
    </row>
    <row r="16" spans="1:20" x14ac:dyDescent="0.2">
      <c r="A16" s="267" t="s">
        <v>209</v>
      </c>
      <c r="B16" s="267"/>
      <c r="C16" s="267"/>
      <c r="D16" s="267"/>
      <c r="E16" s="145"/>
      <c r="F16" s="113" t="s">
        <v>3</v>
      </c>
      <c r="G16" s="113" t="s">
        <v>3</v>
      </c>
      <c r="H16" s="113" t="s">
        <v>3</v>
      </c>
      <c r="I16" s="113" t="s">
        <v>3</v>
      </c>
      <c r="J16" s="113" t="s">
        <v>3</v>
      </c>
      <c r="K16" s="4" t="s">
        <v>4</v>
      </c>
      <c r="L16" s="4" t="s">
        <v>4</v>
      </c>
      <c r="M16" s="4" t="s">
        <v>4</v>
      </c>
    </row>
    <row r="17" spans="1:13" x14ac:dyDescent="0.2">
      <c r="A17" s="116" t="s">
        <v>6</v>
      </c>
      <c r="B17" s="116" t="s">
        <v>7</v>
      </c>
      <c r="C17" s="116" t="s">
        <v>8</v>
      </c>
      <c r="D17" s="116" t="s">
        <v>9</v>
      </c>
      <c r="E17" s="145" t="s">
        <v>143</v>
      </c>
      <c r="F17" s="117">
        <f t="shared" ref="F17:K17" si="8">F2</f>
        <v>2022</v>
      </c>
      <c r="G17" s="117">
        <f t="shared" si="8"/>
        <v>2021</v>
      </c>
      <c r="H17" s="117">
        <f t="shared" si="8"/>
        <v>2020</v>
      </c>
      <c r="I17" s="117">
        <f t="shared" si="8"/>
        <v>2019</v>
      </c>
      <c r="J17" s="117">
        <f t="shared" si="8"/>
        <v>2018</v>
      </c>
      <c r="K17" s="117">
        <f t="shared" si="8"/>
        <v>2017</v>
      </c>
      <c r="L17" s="117">
        <v>2016</v>
      </c>
      <c r="M17" s="117">
        <v>2015</v>
      </c>
    </row>
    <row r="18" spans="1:13" x14ac:dyDescent="0.2">
      <c r="A18" s="90" t="s">
        <v>206</v>
      </c>
      <c r="B18" s="90" t="s">
        <v>207</v>
      </c>
      <c r="C18" s="90"/>
      <c r="D18" s="90" t="s">
        <v>15</v>
      </c>
      <c r="E18" s="147">
        <v>76</v>
      </c>
      <c r="F18" s="119"/>
      <c r="G18" s="119"/>
      <c r="H18" s="119"/>
      <c r="I18" s="119"/>
      <c r="J18" s="119"/>
      <c r="K18" s="119"/>
      <c r="L18" s="119"/>
      <c r="M18" s="110">
        <v>0</v>
      </c>
    </row>
    <row r="19" spans="1:13" x14ac:dyDescent="0.2">
      <c r="A19" s="90" t="s">
        <v>70</v>
      </c>
      <c r="B19" s="90" t="s">
        <v>207</v>
      </c>
      <c r="C19" s="90"/>
      <c r="D19" s="90" t="s">
        <v>15</v>
      </c>
      <c r="E19" s="147">
        <v>77</v>
      </c>
      <c r="F19" s="119"/>
      <c r="G19" s="119"/>
      <c r="H19" s="119"/>
      <c r="I19" s="119"/>
      <c r="J19" s="119"/>
      <c r="K19" s="119"/>
      <c r="L19" s="119"/>
      <c r="M19" s="110">
        <v>0</v>
      </c>
    </row>
    <row r="20" spans="1:13" x14ac:dyDescent="0.2">
      <c r="A20" s="90" t="s">
        <v>72</v>
      </c>
      <c r="B20" s="90" t="s">
        <v>207</v>
      </c>
      <c r="C20" s="90"/>
      <c r="D20" s="90" t="s">
        <v>15</v>
      </c>
      <c r="E20" s="147">
        <v>78</v>
      </c>
      <c r="F20" s="119">
        <f t="shared" ref="F20:K20" si="9">F5</f>
        <v>630</v>
      </c>
      <c r="G20" s="119">
        <f t="shared" si="9"/>
        <v>617.70000000000005</v>
      </c>
      <c r="H20" s="119">
        <f t="shared" si="9"/>
        <v>0</v>
      </c>
      <c r="I20" s="119">
        <f t="shared" si="9"/>
        <v>0</v>
      </c>
      <c r="J20" s="119">
        <f t="shared" si="9"/>
        <v>660.41499999999996</v>
      </c>
      <c r="K20" s="119">
        <f t="shared" si="9"/>
        <v>626.37</v>
      </c>
      <c r="L20" s="119">
        <v>600</v>
      </c>
      <c r="M20" s="110">
        <v>0</v>
      </c>
    </row>
    <row r="21" spans="1:13" x14ac:dyDescent="0.2">
      <c r="A21" s="90" t="s">
        <v>29</v>
      </c>
      <c r="B21" s="90" t="s">
        <v>207</v>
      </c>
      <c r="C21" s="90"/>
      <c r="D21" s="90" t="s">
        <v>15</v>
      </c>
      <c r="E21" s="147">
        <v>79</v>
      </c>
      <c r="F21" s="119"/>
      <c r="G21" s="119"/>
      <c r="H21" s="119"/>
      <c r="I21" s="119"/>
      <c r="J21" s="119"/>
      <c r="K21" s="119"/>
      <c r="L21" s="119"/>
      <c r="M21" s="110">
        <v>0</v>
      </c>
    </row>
    <row r="22" spans="1:13" x14ac:dyDescent="0.2">
      <c r="A22" s="90" t="s">
        <v>208</v>
      </c>
      <c r="B22" s="90" t="s">
        <v>207</v>
      </c>
      <c r="C22" s="90"/>
      <c r="D22" s="90" t="s">
        <v>76</v>
      </c>
      <c r="E22" s="147">
        <v>27</v>
      </c>
      <c r="F22" s="119"/>
      <c r="G22" s="119"/>
      <c r="H22" s="119"/>
      <c r="I22" s="119"/>
      <c r="J22" s="119"/>
      <c r="K22" s="119"/>
      <c r="L22" s="119"/>
      <c r="M22" s="110">
        <v>0</v>
      </c>
    </row>
    <row r="23" spans="1:13" x14ac:dyDescent="0.2">
      <c r="A23" s="90" t="s">
        <v>70</v>
      </c>
      <c r="B23" s="90" t="s">
        <v>207</v>
      </c>
      <c r="C23" s="90"/>
      <c r="D23" s="90" t="s">
        <v>76</v>
      </c>
      <c r="E23" s="147">
        <v>28</v>
      </c>
      <c r="F23" s="119"/>
      <c r="G23" s="119"/>
      <c r="H23" s="119"/>
      <c r="I23" s="119"/>
      <c r="J23" s="119"/>
      <c r="K23" s="119"/>
      <c r="L23" s="119"/>
      <c r="M23" s="110">
        <v>0</v>
      </c>
    </row>
    <row r="24" spans="1:13" x14ac:dyDescent="0.2">
      <c r="A24" s="90" t="s">
        <v>72</v>
      </c>
      <c r="B24" s="90" t="s">
        <v>207</v>
      </c>
      <c r="C24" s="90"/>
      <c r="D24" s="90" t="s">
        <v>76</v>
      </c>
      <c r="E24" s="147">
        <v>29</v>
      </c>
      <c r="F24" s="119">
        <f t="shared" ref="F24:K24" si="10">F9</f>
        <v>630</v>
      </c>
      <c r="G24" s="119">
        <f t="shared" si="10"/>
        <v>446.71</v>
      </c>
      <c r="H24" s="119">
        <f t="shared" si="10"/>
        <v>140.63999999999999</v>
      </c>
      <c r="I24" s="119">
        <f t="shared" si="10"/>
        <v>389.62</v>
      </c>
      <c r="J24" s="119">
        <f t="shared" si="10"/>
        <v>473</v>
      </c>
      <c r="K24" s="119">
        <f t="shared" si="10"/>
        <v>382.5</v>
      </c>
      <c r="L24" s="119">
        <v>600</v>
      </c>
      <c r="M24" s="110">
        <v>0</v>
      </c>
    </row>
    <row r="25" spans="1:13" x14ac:dyDescent="0.2">
      <c r="A25" s="90" t="s">
        <v>29</v>
      </c>
      <c r="B25" s="90" t="s">
        <v>207</v>
      </c>
      <c r="C25" s="90"/>
      <c r="D25" s="90" t="s">
        <v>76</v>
      </c>
      <c r="E25" s="147">
        <v>30</v>
      </c>
      <c r="F25" s="119"/>
      <c r="G25" s="119"/>
      <c r="H25" s="119"/>
      <c r="I25" s="119"/>
      <c r="J25" s="119"/>
      <c r="K25" s="119"/>
      <c r="L25" s="119"/>
      <c r="M25" s="110">
        <v>0</v>
      </c>
    </row>
    <row r="27" spans="1:13" x14ac:dyDescent="0.2">
      <c r="A27" t="s">
        <v>215</v>
      </c>
      <c r="F27" s="115">
        <f t="shared" ref="F27:K27" si="11">F20</f>
        <v>630</v>
      </c>
      <c r="G27" s="115">
        <f t="shared" si="11"/>
        <v>617.70000000000005</v>
      </c>
      <c r="H27" s="115">
        <f t="shared" si="11"/>
        <v>0</v>
      </c>
      <c r="I27" s="115">
        <f t="shared" si="11"/>
        <v>0</v>
      </c>
      <c r="J27" s="115">
        <f t="shared" si="11"/>
        <v>660.41499999999996</v>
      </c>
      <c r="K27" s="115">
        <f t="shared" si="11"/>
        <v>626.37</v>
      </c>
      <c r="M27" s="29">
        <f>SUM(M18:M21)</f>
        <v>0</v>
      </c>
    </row>
    <row r="28" spans="1:13" x14ac:dyDescent="0.2">
      <c r="A28" t="s">
        <v>216</v>
      </c>
      <c r="F28" s="115">
        <f t="shared" ref="F28:K28" si="12">F24</f>
        <v>630</v>
      </c>
      <c r="G28" s="115">
        <f t="shared" si="12"/>
        <v>446.71</v>
      </c>
      <c r="H28" s="115">
        <f t="shared" si="12"/>
        <v>140.63999999999999</v>
      </c>
      <c r="I28" s="115">
        <f t="shared" si="12"/>
        <v>389.62</v>
      </c>
      <c r="J28" s="115">
        <f t="shared" si="12"/>
        <v>473</v>
      </c>
      <c r="K28" s="115">
        <f t="shared" si="12"/>
        <v>382.5</v>
      </c>
      <c r="M28" s="29">
        <f>SUM(M22:M25)</f>
        <v>0</v>
      </c>
    </row>
    <row r="29" spans="1:13" x14ac:dyDescent="0.2">
      <c r="A29" t="s">
        <v>217</v>
      </c>
      <c r="F29" s="115">
        <f>F27-F28</f>
        <v>0</v>
      </c>
      <c r="G29" s="115">
        <f>G27-G28</f>
        <v>170.99000000000007</v>
      </c>
      <c r="H29" s="115">
        <f t="shared" ref="H29:M29" si="13">H27-H28</f>
        <v>-140.63999999999999</v>
      </c>
      <c r="I29" s="115">
        <f t="shared" si="13"/>
        <v>-389.62</v>
      </c>
      <c r="J29" s="115">
        <f t="shared" si="13"/>
        <v>187.41499999999996</v>
      </c>
      <c r="K29" s="115">
        <f t="shared" si="13"/>
        <v>243.87</v>
      </c>
      <c r="L29" s="115">
        <f t="shared" si="13"/>
        <v>0</v>
      </c>
      <c r="M29" s="115">
        <f t="shared" si="13"/>
        <v>0</v>
      </c>
    </row>
  </sheetData>
  <sheetProtection selectLockedCells="1" selectUnlockedCells="1"/>
  <customSheetViews>
    <customSheetView guid="{2689D123-C182-4EB2-AD12-2EBB4C48D466}">
      <selection activeCell="G29" sqref="G29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  <customSheetView guid="{66341D55-D973-4BB5-9B70-DB158BEA4662}">
      <selection activeCell="G29" sqref="G29"/>
      <pageMargins left="0.75" right="0.75" top="1" bottom="1" header="0.51180555555555551" footer="0.51180555555555551"/>
      <pageSetup firstPageNumber="0" orientation="portrait" horizontalDpi="300" verticalDpi="300"/>
      <headerFooter alignWithMargins="0"/>
    </customSheetView>
  </customSheetViews>
  <mergeCells count="3">
    <mergeCell ref="A1:D1"/>
    <mergeCell ref="R1:T1"/>
    <mergeCell ref="A16:D16"/>
  </mergeCells>
  <phoneticPr fontId="9" type="noConversion"/>
  <pageMargins left="0.75" right="0.75" top="1" bottom="1" header="0.51180555555555551" footer="0.51180555555555551"/>
  <pageSetup firstPageNumber="0" orientation="landscape" r:id="rId1"/>
  <headerFooter alignWithMargins="0">
    <oddHeader>&amp;CSTORE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57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3.5" customHeight="1" x14ac:dyDescent="0.2"/>
  <cols>
    <col min="1" max="1" width="37" style="90" customWidth="1"/>
    <col min="2" max="8" width="11.140625" style="233" customWidth="1"/>
    <col min="9" max="13" width="11" style="90" customWidth="1"/>
    <col min="14" max="16384" width="9.140625" style="90"/>
  </cols>
  <sheetData>
    <row r="1" spans="1:14" ht="13.5" customHeight="1" x14ac:dyDescent="0.25">
      <c r="A1" s="91" t="s">
        <v>0</v>
      </c>
      <c r="B1" s="91" t="s">
        <v>3</v>
      </c>
      <c r="C1" s="91" t="s">
        <v>4</v>
      </c>
      <c r="D1" s="91" t="s">
        <v>4</v>
      </c>
      <c r="E1" s="91" t="s">
        <v>4</v>
      </c>
      <c r="F1" s="91" t="s">
        <v>4</v>
      </c>
      <c r="G1" s="91" t="s">
        <v>4</v>
      </c>
      <c r="H1" s="91" t="s">
        <v>4</v>
      </c>
      <c r="I1" s="92"/>
      <c r="J1" s="91"/>
      <c r="K1" s="270"/>
      <c r="L1" s="270"/>
      <c r="M1" s="270"/>
    </row>
    <row r="2" spans="1:14" ht="13.5" customHeight="1" x14ac:dyDescent="0.25">
      <c r="A2" s="93" t="s">
        <v>6</v>
      </c>
      <c r="B2" s="94">
        <v>2019</v>
      </c>
      <c r="C2" s="94">
        <v>2018</v>
      </c>
      <c r="D2" s="94">
        <v>2017</v>
      </c>
      <c r="E2" s="94">
        <v>2016</v>
      </c>
      <c r="F2" s="94">
        <v>2015</v>
      </c>
      <c r="G2" s="94">
        <v>2014</v>
      </c>
      <c r="H2" s="94">
        <v>2013</v>
      </c>
      <c r="I2" s="95"/>
      <c r="J2" s="94"/>
      <c r="K2" s="95"/>
      <c r="L2" s="95"/>
      <c r="M2" s="95"/>
    </row>
    <row r="3" spans="1:14" ht="13.5" customHeight="1" x14ac:dyDescent="0.2">
      <c r="A3" s="96" t="s">
        <v>121</v>
      </c>
      <c r="B3" s="229">
        <f>Admin!I25</f>
        <v>4593.41</v>
      </c>
      <c r="C3" s="229">
        <f>Admin!J25</f>
        <v>5079</v>
      </c>
      <c r="D3" s="229">
        <f>Admin!K25</f>
        <v>4335.630000000001</v>
      </c>
      <c r="E3" s="229">
        <f>Admin!L25</f>
        <v>4321.8600000000006</v>
      </c>
      <c r="F3" s="229">
        <f>Admin!M25</f>
        <v>5809.8599999999988</v>
      </c>
      <c r="G3" s="229">
        <f>Admin!N25</f>
        <v>5353.630000000001</v>
      </c>
      <c r="H3" s="229">
        <f>Admin!O25</f>
        <v>5145.21</v>
      </c>
      <c r="I3" s="97"/>
      <c r="J3" s="98"/>
      <c r="K3"/>
      <c r="L3"/>
      <c r="M3" s="97"/>
      <c r="N3" s="97"/>
    </row>
    <row r="4" spans="1:14" ht="13.5" customHeight="1" x14ac:dyDescent="0.2">
      <c r="A4" s="90" t="s">
        <v>122</v>
      </c>
      <c r="B4" s="230"/>
      <c r="C4" s="230"/>
      <c r="D4" s="230"/>
      <c r="E4" s="230"/>
      <c r="F4" s="230"/>
      <c r="G4" s="230"/>
      <c r="H4" s="230"/>
      <c r="I4" s="97"/>
      <c r="J4" s="97"/>
      <c r="K4"/>
      <c r="L4"/>
      <c r="M4" s="97"/>
      <c r="N4" s="97"/>
    </row>
    <row r="5" spans="1:14" ht="13.5" customHeight="1" x14ac:dyDescent="0.2">
      <c r="A5" s="99" t="s">
        <v>123</v>
      </c>
      <c r="B5" s="231">
        <v>280</v>
      </c>
      <c r="C5" s="231">
        <v>280</v>
      </c>
      <c r="D5" s="231">
        <v>281</v>
      </c>
      <c r="E5" s="231">
        <v>281</v>
      </c>
      <c r="F5" s="231">
        <v>281</v>
      </c>
      <c r="G5" s="231">
        <v>209</v>
      </c>
      <c r="H5" s="231">
        <v>200</v>
      </c>
      <c r="I5" s="100"/>
      <c r="J5" s="100"/>
      <c r="K5"/>
      <c r="L5"/>
      <c r="M5" s="100"/>
      <c r="N5" s="100"/>
    </row>
    <row r="6" spans="1:14" ht="13.5" customHeight="1" x14ac:dyDescent="0.2">
      <c r="B6" s="230"/>
      <c r="C6" s="230"/>
      <c r="D6" s="230"/>
      <c r="E6" s="230"/>
      <c r="F6" s="230"/>
      <c r="G6" s="230"/>
      <c r="H6" s="230"/>
      <c r="I6" s="97"/>
      <c r="J6" s="97"/>
      <c r="K6"/>
      <c r="L6"/>
      <c r="M6" s="97"/>
      <c r="N6" s="97"/>
    </row>
    <row r="7" spans="1:14" ht="13.5" customHeight="1" x14ac:dyDescent="0.2">
      <c r="A7" s="96" t="s">
        <v>124</v>
      </c>
      <c r="B7" s="232">
        <f>Cruising!I7</f>
        <v>0</v>
      </c>
      <c r="C7" s="232">
        <f>Cruising!J7</f>
        <v>-300</v>
      </c>
      <c r="D7" s="232">
        <f>Cruising!K7</f>
        <v>-300</v>
      </c>
      <c r="E7" s="232">
        <f>Cruising!L7</f>
        <v>0</v>
      </c>
      <c r="F7" s="232">
        <f>Cruising!M7</f>
        <v>-571.28</v>
      </c>
      <c r="G7" s="232">
        <f>Cruising!N7</f>
        <v>-22.98</v>
      </c>
      <c r="H7" s="232">
        <f>Cruising!O7</f>
        <v>0</v>
      </c>
      <c r="I7" s="102"/>
      <c r="J7" s="98"/>
      <c r="K7"/>
      <c r="L7"/>
      <c r="M7" s="102"/>
      <c r="N7" s="102"/>
    </row>
    <row r="8" spans="1:14" ht="13.5" customHeight="1" x14ac:dyDescent="0.2">
      <c r="A8" s="90" t="s">
        <v>125</v>
      </c>
      <c r="K8"/>
      <c r="L8"/>
    </row>
    <row r="9" spans="1:14" ht="13.5" customHeight="1" x14ac:dyDescent="0.2">
      <c r="A9" s="90" t="s">
        <v>126</v>
      </c>
      <c r="B9" s="147">
        <v>54</v>
      </c>
      <c r="C9" s="147">
        <v>54</v>
      </c>
      <c r="D9" s="147">
        <v>54</v>
      </c>
      <c r="E9" s="147">
        <v>54</v>
      </c>
      <c r="F9" s="147">
        <v>54</v>
      </c>
      <c r="G9" s="147">
        <v>54</v>
      </c>
      <c r="K9"/>
      <c r="L9"/>
    </row>
    <row r="10" spans="1:14" ht="13.5" customHeight="1" x14ac:dyDescent="0.2">
      <c r="A10" s="90" t="s">
        <v>127</v>
      </c>
      <c r="B10" s="234">
        <f t="shared" ref="B10:G10" si="0">B7/B9</f>
        <v>0</v>
      </c>
      <c r="C10" s="234">
        <f t="shared" si="0"/>
        <v>-5.5555555555555554</v>
      </c>
      <c r="D10" s="234">
        <f t="shared" si="0"/>
        <v>-5.5555555555555554</v>
      </c>
      <c r="E10" s="234">
        <f t="shared" si="0"/>
        <v>0</v>
      </c>
      <c r="F10" s="234">
        <f t="shared" si="0"/>
        <v>-10.579259259259258</v>
      </c>
      <c r="G10" s="234">
        <f t="shared" si="0"/>
        <v>-0.42555555555555558</v>
      </c>
      <c r="K10"/>
      <c r="L10"/>
    </row>
    <row r="11" spans="1:14" ht="13.5" customHeight="1" x14ac:dyDescent="0.2">
      <c r="K11"/>
      <c r="L11"/>
    </row>
    <row r="12" spans="1:14" ht="13.5" customHeight="1" x14ac:dyDescent="0.2">
      <c r="A12" s="96" t="s">
        <v>44</v>
      </c>
      <c r="B12" s="232">
        <f>Facilities!I6</f>
        <v>-2252</v>
      </c>
      <c r="C12" s="232">
        <f>Facilities!J6</f>
        <v>-275</v>
      </c>
      <c r="D12" s="232">
        <f>Facilities!K6</f>
        <v>-1291.49</v>
      </c>
      <c r="E12" s="232">
        <f>Facilities!L6</f>
        <v>-128.94</v>
      </c>
      <c r="F12" s="232">
        <f>Facilities!M6</f>
        <v>-1463.58</v>
      </c>
      <c r="G12" s="232">
        <f>Facilities!N6</f>
        <v>0</v>
      </c>
      <c r="H12" s="232">
        <f>Facilities!O6</f>
        <v>0</v>
      </c>
      <c r="I12" s="102"/>
      <c r="J12" s="98"/>
      <c r="K12"/>
      <c r="L12"/>
      <c r="M12" s="102"/>
      <c r="N12" s="102"/>
    </row>
    <row r="13" spans="1:14" ht="13.5" customHeight="1" x14ac:dyDescent="0.2">
      <c r="A13" s="99" t="s">
        <v>128</v>
      </c>
      <c r="B13" s="235"/>
      <c r="C13" s="235"/>
      <c r="D13" s="235"/>
      <c r="E13" s="235"/>
      <c r="F13" s="235"/>
      <c r="G13" s="235"/>
      <c r="H13" s="235"/>
      <c r="I13" s="102"/>
      <c r="J13" s="102"/>
      <c r="K13"/>
      <c r="L13"/>
      <c r="M13" s="102"/>
      <c r="N13" s="102"/>
    </row>
    <row r="14" spans="1:14" ht="13.5" customHeight="1" x14ac:dyDescent="0.2">
      <c r="A14" s="90" t="s">
        <v>126</v>
      </c>
      <c r="B14" s="235"/>
      <c r="C14" s="235"/>
      <c r="D14" s="235"/>
      <c r="E14" s="235"/>
      <c r="F14" s="235"/>
      <c r="G14" s="235"/>
      <c r="H14" s="235"/>
      <c r="I14" s="102"/>
      <c r="J14" s="102"/>
      <c r="K14"/>
      <c r="L14"/>
      <c r="M14" s="102"/>
      <c r="N14" s="102"/>
    </row>
    <row r="15" spans="1:14" ht="13.5" customHeight="1" x14ac:dyDescent="0.2">
      <c r="A15" s="90" t="s">
        <v>127</v>
      </c>
      <c r="B15" s="235"/>
      <c r="C15" s="235"/>
      <c r="D15" s="235"/>
      <c r="E15" s="235"/>
      <c r="F15" s="235"/>
      <c r="G15" s="235"/>
      <c r="H15" s="235"/>
      <c r="I15" s="102"/>
      <c r="J15" s="102"/>
      <c r="K15"/>
      <c r="L15"/>
      <c r="M15" s="102"/>
      <c r="N15" s="102"/>
    </row>
    <row r="16" spans="1:14" ht="13.5" customHeight="1" x14ac:dyDescent="0.2">
      <c r="B16" s="235"/>
      <c r="C16" s="235"/>
      <c r="D16" s="235"/>
      <c r="E16" s="235"/>
      <c r="F16" s="235"/>
      <c r="G16" s="235"/>
      <c r="H16" s="235"/>
      <c r="I16" s="102"/>
      <c r="J16" s="102"/>
      <c r="K16"/>
      <c r="L16"/>
      <c r="M16" s="102"/>
      <c r="N16" s="102"/>
    </row>
    <row r="17" spans="1:14" ht="13.5" customHeight="1" x14ac:dyDescent="0.2">
      <c r="A17" s="96" t="s">
        <v>129</v>
      </c>
      <c r="B17" s="232">
        <f>Power!I8</f>
        <v>0</v>
      </c>
      <c r="C17" s="232">
        <f>Power!J8</f>
        <v>-40</v>
      </c>
      <c r="D17" s="232">
        <f>Power!K8</f>
        <v>-200</v>
      </c>
      <c r="E17" s="232">
        <f>Power!L8</f>
        <v>-40</v>
      </c>
      <c r="F17" s="232">
        <f>Power!M8</f>
        <v>0</v>
      </c>
      <c r="G17" s="232">
        <f>Power!N8</f>
        <v>0</v>
      </c>
      <c r="H17" s="232">
        <f>Power!O8</f>
        <v>-27.25</v>
      </c>
      <c r="I17" s="102"/>
      <c r="J17" s="98"/>
      <c r="K17"/>
      <c r="L17"/>
      <c r="M17" s="102"/>
      <c r="N17" s="102"/>
    </row>
    <row r="18" spans="1:14" ht="13.5" customHeight="1" x14ac:dyDescent="0.2">
      <c r="A18" s="99" t="s">
        <v>130</v>
      </c>
      <c r="B18" s="235"/>
      <c r="C18" s="235"/>
      <c r="D18" s="235"/>
      <c r="E18" s="235"/>
      <c r="F18" s="235"/>
      <c r="G18" s="235"/>
      <c r="H18" s="235"/>
      <c r="I18" s="102"/>
      <c r="J18" s="102"/>
      <c r="K18"/>
      <c r="L18"/>
      <c r="M18" s="102"/>
      <c r="N18" s="102"/>
    </row>
    <row r="19" spans="1:14" ht="13.5" customHeight="1" x14ac:dyDescent="0.2">
      <c r="A19" s="90" t="s">
        <v>126</v>
      </c>
      <c r="B19" s="236">
        <v>9</v>
      </c>
      <c r="C19" s="236">
        <v>9</v>
      </c>
      <c r="D19" s="236">
        <v>9</v>
      </c>
      <c r="E19" s="236">
        <v>9</v>
      </c>
      <c r="F19" s="236">
        <v>9</v>
      </c>
      <c r="G19" s="236">
        <v>9</v>
      </c>
      <c r="H19" s="235"/>
      <c r="I19" s="102"/>
      <c r="J19" s="102"/>
      <c r="K19"/>
      <c r="L19"/>
      <c r="M19" s="102"/>
      <c r="N19" s="102"/>
    </row>
    <row r="20" spans="1:14" ht="13.5" customHeight="1" x14ac:dyDescent="0.2">
      <c r="A20" s="90" t="s">
        <v>127</v>
      </c>
      <c r="B20" s="237">
        <f t="shared" ref="B20:G20" si="1">B17/B19</f>
        <v>0</v>
      </c>
      <c r="C20" s="237">
        <f t="shared" si="1"/>
        <v>-4.4444444444444446</v>
      </c>
      <c r="D20" s="237">
        <f t="shared" si="1"/>
        <v>-22.222222222222221</v>
      </c>
      <c r="E20" s="237">
        <f t="shared" si="1"/>
        <v>-4.4444444444444446</v>
      </c>
      <c r="F20" s="237">
        <f t="shared" si="1"/>
        <v>0</v>
      </c>
      <c r="G20" s="237">
        <f t="shared" si="1"/>
        <v>0</v>
      </c>
      <c r="H20" s="235"/>
      <c r="I20" s="102"/>
      <c r="J20" s="102"/>
      <c r="K20"/>
      <c r="L20"/>
      <c r="M20" s="102"/>
      <c r="N20" s="102"/>
    </row>
    <row r="21" spans="1:14" ht="13.5" customHeight="1" x14ac:dyDescent="0.2">
      <c r="B21" s="235"/>
      <c r="C21" s="235"/>
      <c r="D21" s="235"/>
      <c r="E21" s="235"/>
      <c r="F21" s="235"/>
      <c r="G21" s="235"/>
      <c r="H21" s="235"/>
      <c r="I21" s="102"/>
      <c r="J21" s="102"/>
      <c r="K21"/>
      <c r="L21"/>
      <c r="M21" s="102"/>
      <c r="N21" s="102"/>
    </row>
    <row r="22" spans="1:14" ht="13.5" customHeight="1" x14ac:dyDescent="0.2">
      <c r="A22" s="96" t="s">
        <v>131</v>
      </c>
      <c r="B22" s="232">
        <f>'Race Comm'!I14</f>
        <v>475.78</v>
      </c>
      <c r="C22" s="232">
        <f>'Race Comm'!J14</f>
        <v>-1285.9900000000002</v>
      </c>
      <c r="D22" s="232">
        <f>'Race Comm'!K14</f>
        <v>-1708.79</v>
      </c>
      <c r="E22" s="232">
        <f>'Race Comm'!L14</f>
        <v>-769.6400000000001</v>
      </c>
      <c r="F22" s="232">
        <f>'Race Comm'!M14</f>
        <v>-975.99</v>
      </c>
      <c r="G22" s="232">
        <f>'Race Comm'!N14</f>
        <v>-614.97</v>
      </c>
      <c r="H22" s="232">
        <f>'Race Comm'!O14</f>
        <v>-580</v>
      </c>
      <c r="I22" s="102"/>
      <c r="J22" s="98"/>
      <c r="K22"/>
      <c r="L22"/>
      <c r="M22" s="102"/>
      <c r="N22" s="102"/>
    </row>
    <row r="23" spans="1:14" ht="13.5" customHeight="1" x14ac:dyDescent="0.2">
      <c r="A23" s="90" t="s">
        <v>132</v>
      </c>
      <c r="B23" s="235"/>
      <c r="C23" s="235"/>
      <c r="D23" s="235"/>
      <c r="E23" s="235"/>
      <c r="F23" s="235"/>
      <c r="G23" s="235"/>
      <c r="H23" s="235"/>
      <c r="I23" s="102"/>
      <c r="J23" s="102"/>
      <c r="K23"/>
      <c r="L23"/>
      <c r="M23" s="102"/>
      <c r="N23" s="102"/>
    </row>
    <row r="24" spans="1:14" ht="13.5" customHeight="1" x14ac:dyDescent="0.2">
      <c r="A24" s="90" t="s">
        <v>126</v>
      </c>
      <c r="B24" s="236"/>
      <c r="C24" s="236"/>
      <c r="D24" s="236"/>
      <c r="E24" s="236"/>
      <c r="F24" s="236"/>
      <c r="G24" s="236"/>
      <c r="H24" s="235"/>
      <c r="I24" s="102"/>
      <c r="J24" s="102"/>
      <c r="K24"/>
      <c r="L24"/>
      <c r="M24" s="102"/>
      <c r="N24" s="102"/>
    </row>
    <row r="25" spans="1:14" ht="13.5" customHeight="1" x14ac:dyDescent="0.2">
      <c r="A25" s="90" t="s">
        <v>127</v>
      </c>
      <c r="B25" s="237" t="e">
        <f t="shared" ref="B25:G25" si="2">B22/B24</f>
        <v>#DIV/0!</v>
      </c>
      <c r="C25" s="237" t="e">
        <f t="shared" si="2"/>
        <v>#DIV/0!</v>
      </c>
      <c r="D25" s="237" t="e">
        <f t="shared" si="2"/>
        <v>#DIV/0!</v>
      </c>
      <c r="E25" s="237" t="e">
        <f t="shared" si="2"/>
        <v>#DIV/0!</v>
      </c>
      <c r="F25" s="237" t="e">
        <f t="shared" si="2"/>
        <v>#DIV/0!</v>
      </c>
      <c r="G25" s="237" t="e">
        <f t="shared" si="2"/>
        <v>#DIV/0!</v>
      </c>
      <c r="H25" s="235"/>
      <c r="I25" s="102"/>
      <c r="J25" s="102"/>
      <c r="K25"/>
      <c r="L25"/>
      <c r="M25" s="102"/>
      <c r="N25" s="102"/>
    </row>
    <row r="26" spans="1:14" ht="13.5" customHeight="1" x14ac:dyDescent="0.2">
      <c r="B26" s="235"/>
      <c r="C26" s="235"/>
      <c r="D26" s="235"/>
      <c r="E26" s="235"/>
      <c r="F26" s="235"/>
      <c r="G26" s="235"/>
      <c r="H26" s="235"/>
      <c r="I26" s="102"/>
      <c r="J26" s="102"/>
      <c r="K26"/>
      <c r="L26"/>
      <c r="M26" s="102"/>
      <c r="N26" s="102"/>
    </row>
    <row r="27" spans="1:14" ht="13.5" customHeight="1" x14ac:dyDescent="0.2">
      <c r="A27" s="96" t="s">
        <v>133</v>
      </c>
      <c r="B27" s="232">
        <f>Rhodes!I6</f>
        <v>186</v>
      </c>
      <c r="C27" s="232">
        <f>Rhodes!J6</f>
        <v>690</v>
      </c>
      <c r="D27" s="232">
        <f>Rhodes!K6</f>
        <v>0.22000000000002728</v>
      </c>
      <c r="E27" s="232">
        <f>Rhodes!L6</f>
        <v>181.14999999999998</v>
      </c>
      <c r="F27" s="232">
        <f>Rhodes!M6</f>
        <v>574.66</v>
      </c>
      <c r="G27" s="232">
        <f>Rhodes!N6</f>
        <v>251</v>
      </c>
      <c r="H27" s="232">
        <f>Rhodes!O6</f>
        <v>343</v>
      </c>
      <c r="I27" s="102"/>
      <c r="J27" s="98"/>
      <c r="K27"/>
      <c r="L27"/>
      <c r="M27" s="102"/>
      <c r="N27" s="102"/>
    </row>
    <row r="28" spans="1:14" ht="13.5" customHeight="1" x14ac:dyDescent="0.2">
      <c r="A28" s="90" t="s">
        <v>134</v>
      </c>
      <c r="B28" s="235"/>
      <c r="C28" s="235"/>
      <c r="D28" s="235"/>
      <c r="E28" s="235"/>
      <c r="F28" s="235"/>
      <c r="G28" s="235"/>
      <c r="H28" s="235"/>
      <c r="I28" s="102"/>
      <c r="J28" s="102"/>
      <c r="K28"/>
      <c r="L28"/>
      <c r="M28" s="102"/>
      <c r="N28" s="102"/>
    </row>
    <row r="29" spans="1:14" ht="13.5" customHeight="1" x14ac:dyDescent="0.2">
      <c r="A29" s="90" t="s">
        <v>126</v>
      </c>
      <c r="B29" s="236">
        <v>29</v>
      </c>
      <c r="C29" s="236">
        <v>29</v>
      </c>
      <c r="D29" s="236">
        <v>29</v>
      </c>
      <c r="E29" s="236">
        <v>29</v>
      </c>
      <c r="F29" s="236">
        <v>29</v>
      </c>
      <c r="G29" s="236">
        <v>29</v>
      </c>
      <c r="H29" s="235"/>
      <c r="I29" s="102"/>
      <c r="J29" s="102"/>
      <c r="K29"/>
      <c r="L29"/>
      <c r="M29" s="102"/>
      <c r="N29" s="102"/>
    </row>
    <row r="30" spans="1:14" ht="13.5" customHeight="1" x14ac:dyDescent="0.2">
      <c r="A30" s="90" t="s">
        <v>127</v>
      </c>
      <c r="B30" s="237">
        <f t="shared" ref="B30:G30" si="3">B27/B29</f>
        <v>6.4137931034482758</v>
      </c>
      <c r="C30" s="237">
        <f t="shared" si="3"/>
        <v>23.793103448275861</v>
      </c>
      <c r="D30" s="237">
        <f t="shared" si="3"/>
        <v>7.5862068965526653E-3</v>
      </c>
      <c r="E30" s="237">
        <f t="shared" si="3"/>
        <v>6.2465517241379303</v>
      </c>
      <c r="F30" s="237">
        <f t="shared" si="3"/>
        <v>19.815862068965515</v>
      </c>
      <c r="G30" s="237">
        <f t="shared" si="3"/>
        <v>8.6551724137931032</v>
      </c>
      <c r="H30" s="235"/>
      <c r="I30" s="102"/>
      <c r="J30" s="102"/>
      <c r="K30"/>
      <c r="L30"/>
      <c r="M30" s="102"/>
      <c r="N30" s="102"/>
    </row>
    <row r="31" spans="1:14" ht="13.5" customHeight="1" x14ac:dyDescent="0.2">
      <c r="B31" s="235"/>
      <c r="C31" s="235"/>
      <c r="D31" s="235"/>
      <c r="E31" s="235"/>
      <c r="F31" s="235"/>
      <c r="G31" s="235"/>
      <c r="H31" s="235"/>
      <c r="I31" s="102"/>
      <c r="J31" s="102"/>
      <c r="K31"/>
      <c r="L31"/>
      <c r="M31" s="102"/>
      <c r="N31" s="102"/>
    </row>
    <row r="32" spans="1:14" ht="13.5" customHeight="1" x14ac:dyDescent="0.2">
      <c r="A32" s="96" t="s">
        <v>135</v>
      </c>
      <c r="B32" s="232">
        <f>Training!J7</f>
        <v>-858.21</v>
      </c>
      <c r="C32" s="232">
        <f>Training!K7</f>
        <v>-1410.6</v>
      </c>
      <c r="D32" s="232">
        <f>Training!L7</f>
        <v>0</v>
      </c>
      <c r="E32" s="232">
        <f>Training!M7</f>
        <v>-1658.54</v>
      </c>
      <c r="F32" s="232">
        <f>Training!N7</f>
        <v>-1658.54</v>
      </c>
      <c r="G32" s="232">
        <f>Training!O7</f>
        <v>-405.06</v>
      </c>
      <c r="H32" s="232">
        <f>Training!P7</f>
        <v>-721.26</v>
      </c>
      <c r="I32" s="102"/>
      <c r="J32" s="98"/>
      <c r="K32"/>
      <c r="L32"/>
      <c r="M32" s="102"/>
      <c r="N32" s="102"/>
    </row>
    <row r="33" spans="1:14" ht="13.5" customHeight="1" x14ac:dyDescent="0.2">
      <c r="A33" s="90" t="s">
        <v>136</v>
      </c>
      <c r="B33" s="235"/>
      <c r="C33" s="235"/>
      <c r="D33" s="235"/>
      <c r="E33" s="235"/>
      <c r="F33" s="235"/>
      <c r="G33" s="235"/>
      <c r="H33" s="235"/>
      <c r="I33" s="102"/>
      <c r="J33" s="102"/>
      <c r="K33"/>
      <c r="L33"/>
      <c r="M33" s="102"/>
      <c r="N33" s="102"/>
    </row>
    <row r="34" spans="1:14" ht="13.5" customHeight="1" x14ac:dyDescent="0.2">
      <c r="A34" s="90" t="s">
        <v>126</v>
      </c>
      <c r="B34" s="236">
        <v>37</v>
      </c>
      <c r="C34" s="236">
        <v>37</v>
      </c>
      <c r="D34" s="236">
        <v>37</v>
      </c>
      <c r="E34" s="236">
        <v>37</v>
      </c>
      <c r="F34" s="236">
        <v>37</v>
      </c>
      <c r="G34" s="236">
        <v>37</v>
      </c>
      <c r="H34" s="235"/>
      <c r="I34" s="102"/>
      <c r="J34" s="102"/>
      <c r="K34"/>
      <c r="L34"/>
      <c r="M34" s="102"/>
      <c r="N34" s="102"/>
    </row>
    <row r="35" spans="1:14" ht="13.5" customHeight="1" x14ac:dyDescent="0.2">
      <c r="A35" s="90" t="s">
        <v>127</v>
      </c>
      <c r="B35" s="237">
        <f t="shared" ref="B35:G35" si="4">B32/B34</f>
        <v>-23.194864864864865</v>
      </c>
      <c r="C35" s="237">
        <f t="shared" si="4"/>
        <v>-38.12432432432432</v>
      </c>
      <c r="D35" s="237">
        <f t="shared" si="4"/>
        <v>0</v>
      </c>
      <c r="E35" s="237">
        <f t="shared" si="4"/>
        <v>-44.825405405405405</v>
      </c>
      <c r="F35" s="237">
        <f t="shared" si="4"/>
        <v>-44.825405405405405</v>
      </c>
      <c r="G35" s="237">
        <f t="shared" si="4"/>
        <v>-10.947567567567567</v>
      </c>
      <c r="H35" s="235"/>
      <c r="I35" s="102"/>
      <c r="J35" s="102"/>
      <c r="K35"/>
      <c r="L35"/>
      <c r="M35" s="102"/>
      <c r="N35" s="102"/>
    </row>
    <row r="36" spans="1:14" ht="13.5" customHeight="1" x14ac:dyDescent="0.2">
      <c r="B36" s="235"/>
      <c r="C36" s="235"/>
      <c r="D36" s="235"/>
      <c r="E36" s="235"/>
      <c r="F36" s="235"/>
      <c r="G36" s="235"/>
      <c r="H36" s="235"/>
      <c r="I36" s="102"/>
      <c r="J36" s="102"/>
      <c r="K36"/>
      <c r="L36"/>
      <c r="M36" s="102"/>
      <c r="N36" s="102"/>
    </row>
    <row r="37" spans="1:14" ht="13.5" customHeight="1" x14ac:dyDescent="0.2">
      <c r="A37" s="96" t="s">
        <v>137</v>
      </c>
      <c r="B37" s="232">
        <f>Shields!I13</f>
        <v>-1635.19</v>
      </c>
      <c r="C37" s="232">
        <f>Shields!J13</f>
        <v>-1893.2600000000002</v>
      </c>
      <c r="D37" s="232">
        <f>Shields!K13</f>
        <v>1236.98</v>
      </c>
      <c r="E37" s="232">
        <f>Shields!L13</f>
        <v>1710.2099999999998</v>
      </c>
      <c r="F37" s="232">
        <f>Shields!M13</f>
        <v>-325.54999999999995</v>
      </c>
      <c r="G37" s="232">
        <f>Shields!N13</f>
        <v>-108.26999999999998</v>
      </c>
      <c r="H37" s="232">
        <f>Shields!O13</f>
        <v>-1091.42</v>
      </c>
      <c r="I37" s="102"/>
      <c r="J37" s="98"/>
      <c r="K37"/>
      <c r="L37"/>
      <c r="M37" s="102"/>
      <c r="N37" s="102"/>
    </row>
    <row r="38" spans="1:14" ht="13.5" customHeight="1" x14ac:dyDescent="0.2">
      <c r="A38" s="90" t="s">
        <v>138</v>
      </c>
      <c r="B38" s="235"/>
      <c r="C38" s="235"/>
      <c r="D38" s="235"/>
      <c r="E38" s="235"/>
      <c r="F38" s="235"/>
      <c r="G38" s="235"/>
      <c r="H38" s="235"/>
      <c r="I38" s="102"/>
      <c r="J38" s="102"/>
      <c r="K38"/>
      <c r="L38"/>
      <c r="M38" s="102"/>
      <c r="N38" s="102"/>
    </row>
    <row r="39" spans="1:14" ht="13.5" customHeight="1" x14ac:dyDescent="0.2">
      <c r="A39" s="90" t="s">
        <v>126</v>
      </c>
      <c r="B39" s="236">
        <v>18</v>
      </c>
      <c r="C39" s="236">
        <v>18</v>
      </c>
      <c r="D39" s="236">
        <v>18</v>
      </c>
      <c r="E39" s="236">
        <v>18</v>
      </c>
      <c r="F39" s="236">
        <v>18</v>
      </c>
      <c r="G39" s="236">
        <v>18</v>
      </c>
      <c r="H39" s="235"/>
      <c r="I39" s="102"/>
      <c r="J39" s="102"/>
      <c r="K39"/>
      <c r="L39"/>
      <c r="M39" s="102"/>
      <c r="N39" s="102"/>
    </row>
    <row r="40" spans="1:14" ht="13.5" customHeight="1" x14ac:dyDescent="0.2">
      <c r="A40" s="90" t="s">
        <v>127</v>
      </c>
      <c r="B40" s="237">
        <f t="shared" ref="B40:G40" si="5">B37/B39</f>
        <v>-90.843888888888898</v>
      </c>
      <c r="C40" s="237">
        <f t="shared" si="5"/>
        <v>-105.18111111111112</v>
      </c>
      <c r="D40" s="237">
        <f t="shared" si="5"/>
        <v>68.721111111111114</v>
      </c>
      <c r="E40" s="237">
        <f t="shared" si="5"/>
        <v>95.011666666666656</v>
      </c>
      <c r="F40" s="237">
        <f t="shared" si="5"/>
        <v>-18.086111111111109</v>
      </c>
      <c r="G40" s="237">
        <f t="shared" si="5"/>
        <v>-6.0149999999999988</v>
      </c>
      <c r="H40" s="235"/>
      <c r="I40" s="102"/>
      <c r="J40" s="102"/>
      <c r="K40"/>
      <c r="L40"/>
      <c r="M40" s="102"/>
      <c r="N40" s="102"/>
    </row>
    <row r="41" spans="1:14" ht="13.5" customHeight="1" x14ac:dyDescent="0.2">
      <c r="B41" s="235"/>
      <c r="C41" s="235"/>
      <c r="D41" s="235"/>
      <c r="E41" s="235"/>
      <c r="F41" s="235"/>
      <c r="G41" s="235"/>
      <c r="H41" s="235"/>
      <c r="I41" s="102"/>
      <c r="J41" s="102"/>
      <c r="K41"/>
      <c r="L41"/>
      <c r="M41" s="102"/>
      <c r="N41" s="102"/>
    </row>
    <row r="42" spans="1:14" ht="13.5" customHeight="1" x14ac:dyDescent="0.2">
      <c r="A42" s="96" t="s">
        <v>139</v>
      </c>
      <c r="B42" s="232">
        <f>Store!I11</f>
        <v>331.06</v>
      </c>
      <c r="C42" s="232">
        <f>Store!J11</f>
        <v>-187.41499999999996</v>
      </c>
      <c r="D42" s="232">
        <f>Store!K11</f>
        <v>-203.87</v>
      </c>
      <c r="E42" s="232">
        <f>Store!L11</f>
        <v>61.590000000000032</v>
      </c>
      <c r="F42" s="232">
        <f>Store!M11</f>
        <v>80.279999999999973</v>
      </c>
      <c r="G42" s="232">
        <f>Store!N11</f>
        <v>861.58999999999992</v>
      </c>
      <c r="H42" s="232">
        <f>Store!O11</f>
        <v>783.88</v>
      </c>
      <c r="I42" s="102"/>
      <c r="J42" s="98"/>
      <c r="K42"/>
      <c r="L42"/>
      <c r="M42" s="102"/>
      <c r="N42" s="102"/>
    </row>
    <row r="43" spans="1:14" ht="13.5" customHeight="1" x14ac:dyDescent="0.2">
      <c r="A43" s="90" t="s">
        <v>122</v>
      </c>
      <c r="B43" s="235"/>
      <c r="C43" s="235"/>
      <c r="D43" s="235"/>
      <c r="E43" s="235"/>
      <c r="F43" s="235"/>
      <c r="G43" s="235"/>
      <c r="H43" s="235"/>
      <c r="I43" s="102"/>
      <c r="J43" s="102"/>
      <c r="K43"/>
      <c r="L43"/>
      <c r="M43" s="102"/>
      <c r="N43" s="102"/>
    </row>
    <row r="44" spans="1:14" ht="13.5" customHeight="1" x14ac:dyDescent="0.2">
      <c r="A44" s="90" t="s">
        <v>126</v>
      </c>
      <c r="B44" s="235"/>
      <c r="C44" s="235"/>
      <c r="D44" s="235"/>
      <c r="E44" s="235"/>
      <c r="F44" s="235"/>
      <c r="G44" s="235"/>
      <c r="H44" s="235"/>
      <c r="I44" s="102"/>
      <c r="J44" s="102"/>
      <c r="K44"/>
      <c r="L44"/>
      <c r="M44" s="102"/>
      <c r="N44" s="102"/>
    </row>
    <row r="45" spans="1:14" ht="13.5" customHeight="1" x14ac:dyDescent="0.2">
      <c r="A45" s="90" t="s">
        <v>127</v>
      </c>
      <c r="B45" s="237" t="e">
        <f t="shared" ref="B45:G45" si="6">B42/B44</f>
        <v>#DIV/0!</v>
      </c>
      <c r="C45" s="237" t="e">
        <f t="shared" si="6"/>
        <v>#DIV/0!</v>
      </c>
      <c r="D45" s="237" t="e">
        <f t="shared" si="6"/>
        <v>#DIV/0!</v>
      </c>
      <c r="E45" s="237" t="e">
        <f t="shared" si="6"/>
        <v>#DIV/0!</v>
      </c>
      <c r="F45" s="237" t="e">
        <f t="shared" si="6"/>
        <v>#DIV/0!</v>
      </c>
      <c r="G45" s="237" t="e">
        <f t="shared" si="6"/>
        <v>#DIV/0!</v>
      </c>
      <c r="H45" s="235"/>
      <c r="I45" s="102"/>
      <c r="J45" s="102"/>
      <c r="K45"/>
      <c r="L45"/>
      <c r="M45" s="102"/>
      <c r="N45" s="102"/>
    </row>
    <row r="46" spans="1:14" ht="13.5" customHeight="1" x14ac:dyDescent="0.2">
      <c r="B46" s="235"/>
      <c r="C46" s="235"/>
      <c r="D46" s="235"/>
      <c r="E46" s="235"/>
      <c r="F46" s="235"/>
      <c r="G46" s="235"/>
      <c r="H46" s="235"/>
      <c r="I46" s="102"/>
      <c r="J46" s="102"/>
      <c r="K46"/>
      <c r="L46"/>
      <c r="M46" s="102"/>
      <c r="N46" s="102"/>
    </row>
    <row r="47" spans="1:14" ht="13.5" customHeight="1" x14ac:dyDescent="0.2">
      <c r="A47" s="96" t="s">
        <v>40</v>
      </c>
      <c r="B47" s="232">
        <f>Social!I13</f>
        <v>-581.58000000000084</v>
      </c>
      <c r="C47" s="232">
        <f>Social!J13</f>
        <v>-2250.9699999999993</v>
      </c>
      <c r="D47" s="232">
        <f>Social!K13</f>
        <v>-5678.1100000000006</v>
      </c>
      <c r="E47" s="232">
        <f>Social!L13</f>
        <v>-4781.8899999999994</v>
      </c>
      <c r="F47" s="232">
        <f>Social!M13</f>
        <v>-3809.76</v>
      </c>
      <c r="G47" s="232">
        <f>Social!N13</f>
        <v>-2978.7700000000004</v>
      </c>
      <c r="H47" s="232">
        <f>Social!O13</f>
        <v>-1400.8199999999997</v>
      </c>
      <c r="I47" s="102"/>
      <c r="J47" s="98"/>
      <c r="K47"/>
      <c r="L47"/>
      <c r="M47" s="102"/>
      <c r="N47" s="102"/>
    </row>
    <row r="48" spans="1:14" ht="13.5" customHeight="1" x14ac:dyDescent="0.2">
      <c r="A48" s="99" t="s">
        <v>140</v>
      </c>
      <c r="B48" s="235"/>
      <c r="C48" s="235"/>
      <c r="D48" s="235"/>
      <c r="E48" s="235"/>
      <c r="F48" s="235"/>
      <c r="G48" s="235"/>
      <c r="H48" s="235"/>
      <c r="I48" s="102"/>
      <c r="J48" s="102"/>
      <c r="K48"/>
      <c r="L48"/>
      <c r="M48" s="102"/>
      <c r="N48" s="102"/>
    </row>
    <row r="49" spans="1:14" ht="13.5" customHeight="1" x14ac:dyDescent="0.2">
      <c r="A49" s="90" t="s">
        <v>126</v>
      </c>
      <c r="B49" s="236">
        <v>64</v>
      </c>
      <c r="C49" s="236">
        <v>64</v>
      </c>
      <c r="D49" s="236">
        <v>64</v>
      </c>
      <c r="E49" s="236">
        <v>64</v>
      </c>
      <c r="F49" s="236">
        <v>64</v>
      </c>
      <c r="G49" s="235"/>
      <c r="H49" s="235"/>
      <c r="I49" s="102"/>
      <c r="J49" s="102"/>
      <c r="K49"/>
      <c r="L49"/>
      <c r="M49" s="102"/>
      <c r="N49" s="102"/>
    </row>
    <row r="50" spans="1:14" ht="13.5" customHeight="1" x14ac:dyDescent="0.2">
      <c r="A50" s="90" t="s">
        <v>127</v>
      </c>
      <c r="B50" s="237">
        <f t="shared" ref="B50:G50" si="7">B47/B49</f>
        <v>-9.0871875000000131</v>
      </c>
      <c r="C50" s="237">
        <f t="shared" si="7"/>
        <v>-35.17140624999999</v>
      </c>
      <c r="D50" s="237">
        <f t="shared" si="7"/>
        <v>-88.720468750000009</v>
      </c>
      <c r="E50" s="237">
        <f t="shared" si="7"/>
        <v>-74.717031249999991</v>
      </c>
      <c r="F50" s="237">
        <f t="shared" si="7"/>
        <v>-59.527500000000003</v>
      </c>
      <c r="G50" s="237" t="e">
        <f t="shared" si="7"/>
        <v>#DIV/0!</v>
      </c>
      <c r="H50" s="235"/>
      <c r="I50" s="102"/>
      <c r="J50" s="102"/>
      <c r="K50"/>
      <c r="L50"/>
      <c r="M50" s="102"/>
      <c r="N50" s="102"/>
    </row>
    <row r="51" spans="1:14" ht="13.5" customHeight="1" x14ac:dyDescent="0.2">
      <c r="B51" s="235"/>
      <c r="C51" s="235"/>
      <c r="D51" s="235"/>
      <c r="E51" s="235"/>
      <c r="F51" s="235"/>
      <c r="G51" s="235"/>
      <c r="H51" s="235"/>
      <c r="I51" s="102"/>
      <c r="J51" s="102"/>
      <c r="K51"/>
      <c r="L51"/>
      <c r="M51" s="102"/>
      <c r="N51" s="102"/>
    </row>
    <row r="52" spans="1:14" ht="13.5" customHeight="1" x14ac:dyDescent="0.2">
      <c r="A52" s="104" t="s">
        <v>141</v>
      </c>
      <c r="B52" s="255">
        <f t="shared" ref="B52:H52" si="8">+B3+B7+B12+B17+B22+B27+B32+B37+B42+B47</f>
        <v>259.26999999999862</v>
      </c>
      <c r="C52" s="255">
        <f t="shared" si="8"/>
        <v>-1874.2349999999997</v>
      </c>
      <c r="D52" s="255">
        <f t="shared" si="8"/>
        <v>-3809.4299999999994</v>
      </c>
      <c r="E52" s="255">
        <f t="shared" si="8"/>
        <v>-1104.1999999999989</v>
      </c>
      <c r="F52" s="255">
        <f t="shared" si="8"/>
        <v>-2339.900000000001</v>
      </c>
      <c r="G52" s="255">
        <f t="shared" si="8"/>
        <v>2336.17</v>
      </c>
      <c r="H52" s="255">
        <f t="shared" si="8"/>
        <v>2451.34</v>
      </c>
      <c r="I52" s="101"/>
      <c r="J52" s="98"/>
      <c r="K52"/>
      <c r="L52"/>
      <c r="M52" s="101"/>
      <c r="N52" s="102"/>
    </row>
    <row r="53" spans="1:14" ht="13.5" customHeight="1" x14ac:dyDescent="0.2">
      <c r="A53" s="90" t="s">
        <v>142</v>
      </c>
      <c r="B53" s="238">
        <f>+B52-Budget!F85</f>
        <v>259.26999999999862</v>
      </c>
      <c r="C53" s="238">
        <f>+C52-Budget!K85</f>
        <v>-588.39000000000033</v>
      </c>
      <c r="D53" s="238">
        <f>+D52-Budget!M85</f>
        <v>385.29999999999654</v>
      </c>
      <c r="E53" s="238">
        <f>+E52-Budget!O85</f>
        <v>-20.25999999999658</v>
      </c>
      <c r="F53" s="238">
        <f>+F52-Budget!L85</f>
        <v>-2339.900000000001</v>
      </c>
      <c r="G53" s="238">
        <f>+G52-Budget!M85</f>
        <v>6530.899999999996</v>
      </c>
      <c r="H53" s="238">
        <f>+H52-Budget!N85</f>
        <v>2451.34</v>
      </c>
    </row>
    <row r="55" spans="1:14" ht="13.5" customHeight="1" x14ac:dyDescent="0.2">
      <c r="A55" s="90" t="s">
        <v>220</v>
      </c>
      <c r="B55" s="237" t="e">
        <f>+Admin!A55+Cruising!A23+Facilities!A22+Power!A26+'Race Comm'!A47+Rhodes!A21+Training!A22+Shields!A55+Social!A33+Store!A29</f>
        <v>#VALUE!</v>
      </c>
      <c r="C55" s="237">
        <f>+Admin!B55+Cruising!B23+Facilities!B22+Power!B26+'Race Comm'!B47+Rhodes!B21+Training!B22+Shields!B55+Social!B33+Store!B29</f>
        <v>0</v>
      </c>
      <c r="D55" s="237">
        <f>+Admin!C55+Cruising!C23+Facilities!C22+Power!C26+'Race Comm'!C47+Rhodes!C21+Training!C22+Shields!C55+Social!C33+Store!C29</f>
        <v>0</v>
      </c>
      <c r="E55" s="237">
        <f>+Admin!E55+Cruising!E23+Facilities!E22+Power!E26+'Race Comm'!E47+Rhodes!E21+Training!E22+Shields!E55+Social!E33+Store!E29</f>
        <v>0</v>
      </c>
      <c r="F55" s="237">
        <f>+Admin!M55+Cruising!M23+Facilities!M22+Power!M26+'Race Comm'!M45+Rhodes!M21+Training!N22+Shields!M55+Social!M33+Store!M29</f>
        <v>0</v>
      </c>
      <c r="G55" s="239"/>
    </row>
    <row r="56" spans="1:14" ht="13.5" customHeight="1" x14ac:dyDescent="0.2">
      <c r="A56" s="90" t="s">
        <v>219</v>
      </c>
      <c r="B56" s="237" t="e">
        <f>-(+Admin!A53+Cruising!A21+Facilities!A20+Power!A24+'Race Comm'!A45+Rhodes!A19+Training!A20+Shields!A53+Social!A31+Store!A27)</f>
        <v>#VALUE!</v>
      </c>
      <c r="C56" s="237">
        <f>-(+Admin!B53+Cruising!B21+Facilities!B20+Power!B24+'Race Comm'!B45+Rhodes!B19+Training!B20+Shields!B53+Social!B31+Store!B27)</f>
        <v>0</v>
      </c>
      <c r="D56" s="237">
        <f>-(+Admin!C53+Cruising!C21+Facilities!C20+Power!C24+'Race Comm'!C45+Rhodes!C19+Training!C20+Shields!C53+Social!C31+Store!C27)</f>
        <v>0</v>
      </c>
      <c r="E56" s="237">
        <f>-(+Admin!E53+Cruising!E21+Facilities!E20+Power!E24+'Race Comm'!E45+Rhodes!E19+Training!E20+Shields!E53+Social!E31+Store!E27)</f>
        <v>0</v>
      </c>
      <c r="F56" s="237">
        <f>-(+Admin!M53+Cruising!M21+Facilities!M20+Power!M24+'Race Comm'!M43+Rhodes!M19+Training!N20+Shields!M53+Social!M31+Store!M27)</f>
        <v>0</v>
      </c>
    </row>
    <row r="57" spans="1:14" ht="13.5" customHeight="1" x14ac:dyDescent="0.2">
      <c r="A57" s="90" t="s">
        <v>218</v>
      </c>
      <c r="B57" s="237" t="e">
        <f>+Admin!A54+Cruising!A22+Facilities!A21+Power!A25+'Race Comm'!A46+Rhodes!A20+Training!A21+Shields!A54+Social!A32+Store!A28</f>
        <v>#VALUE!</v>
      </c>
      <c r="C57" s="237">
        <f>+Admin!B54+Cruising!B22+Facilities!B21+Power!B25+'Race Comm'!B46+Rhodes!B20+Training!B21+Shields!B54+Social!B32+Store!B28</f>
        <v>0</v>
      </c>
      <c r="D57" s="237">
        <f>+Admin!C54+Cruising!C22+Facilities!C21+Power!C25+'Race Comm'!C46+Rhodes!C20+Training!C21+Shields!C54+Social!C32+Store!C28</f>
        <v>0</v>
      </c>
      <c r="E57" s="237">
        <f>+Admin!E54+Cruising!E22+Facilities!E21+Power!E25+'Race Comm'!E46+Rhodes!E20+Training!E21+Shields!E54+Social!E32+Store!E28</f>
        <v>0</v>
      </c>
      <c r="F57" s="237">
        <f>+Admin!M54+Cruising!M22+Facilities!M21+Power!M25+'Race Comm'!M44+Rhodes!M20+Training!N21+Shields!M54+Social!M32+Store!M28</f>
        <v>0</v>
      </c>
    </row>
  </sheetData>
  <sheetProtection selectLockedCells="1" selectUnlockedCells="1"/>
  <customSheetViews>
    <customSheetView guid="{2689D123-C182-4EB2-AD12-2EBB4C48D466}" showPageBreaks="1" fitToPage="1" printArea="1">
      <pane xSplit="1" ySplit="2" topLeftCell="B27" activePane="bottomRight" state="frozen"/>
      <selection pane="bottomRight" activeCell="A57" sqref="A57"/>
      <pageMargins left="0.25" right="0.25" top="0.60555555555555562" bottom="0.20972222222222223" header="0.3" footer="0.51180555555555551"/>
      <printOptions horizontalCentered="1" verticalCentered="1"/>
      <pageSetup scale="79" firstPageNumber="0" orientation="landscape" horizontalDpi="300" verticalDpi="300" r:id="rId1"/>
      <headerFooter alignWithMargins="0">
        <oddHeader>&amp;C&amp;"Arial,Bold"&amp;22CHNYC 2015 Proposed Budget with Historical Comparison</oddHeader>
      </headerFooter>
    </customSheetView>
    <customSheetView guid="{66341D55-D973-4BB5-9B70-DB158BEA4662}" fitToPage="1" printArea="1" hiddenRows="1">
      <pane xSplit="1" ySplit="2" topLeftCell="B3" activePane="bottomRight" state="frozen"/>
      <selection pane="bottomRight" activeCell="H38" sqref="H38"/>
      <pageMargins left="0.25" right="0.25" top="0.60555555555555562" bottom="0.20972222222222223" header="0.3" footer="0.51180555555555551"/>
      <printOptions horizontalCentered="1" verticalCentered="1"/>
      <pageSetup firstPageNumber="0" orientation="landscape" horizontalDpi="300" verticalDpi="300"/>
      <headerFooter alignWithMargins="0">
        <oddHeader>&amp;C&amp;"Arial,Bold"&amp;22CHNYC 2015 Proposed Budget with Historical Comparison</oddHeader>
      </headerFooter>
    </customSheetView>
  </customSheetViews>
  <mergeCells count="1">
    <mergeCell ref="K1:M1"/>
  </mergeCells>
  <phoneticPr fontId="9" type="noConversion"/>
  <printOptions horizontalCentered="1" verticalCentered="1"/>
  <pageMargins left="0.25" right="0.25" top="0.60555555555555562" bottom="0.20972222222222223" header="0.3" footer="0.51180555555555551"/>
  <pageSetup scale="73" firstPageNumber="0" orientation="landscape" r:id="rId2"/>
  <headerFooter alignWithMargins="0">
    <oddHeader>&amp;C&amp;"Arial,Bold"&amp;22CHNYC 2015 Proposed Budget with Historical Comparison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15</vt:i4>
      </vt:variant>
    </vt:vector>
  </HeadingPairs>
  <TitlesOfParts>
    <vt:vector size="27" baseType="lpstr">
      <vt:lpstr>Budget</vt:lpstr>
      <vt:lpstr>Cruising</vt:lpstr>
      <vt:lpstr>Facilities</vt:lpstr>
      <vt:lpstr>Admin</vt:lpstr>
      <vt:lpstr>Race Comm</vt:lpstr>
      <vt:lpstr>Training</vt:lpstr>
      <vt:lpstr>Power</vt:lpstr>
      <vt:lpstr>Rhodes</vt:lpstr>
      <vt:lpstr>Shields</vt:lpstr>
      <vt:lpstr>Social</vt:lpstr>
      <vt:lpstr>Store</vt:lpstr>
      <vt:lpstr>WorkingBudget</vt:lpstr>
      <vt:lpstr>Budget!CHNYC_Quicken_Categories</vt:lpstr>
      <vt:lpstr>WorkingBudget!CHNYC_Quicken_Categories</vt:lpstr>
      <vt:lpstr>Budget!Excel_BuiltIn_Print_Area</vt:lpstr>
      <vt:lpstr>Admin!Print_Area</vt:lpstr>
      <vt:lpstr>Budget!Print_Area</vt:lpstr>
      <vt:lpstr>Cruising!Print_Area</vt:lpstr>
      <vt:lpstr>Facilities!Print_Area</vt:lpstr>
      <vt:lpstr>Power!Print_Area</vt:lpstr>
      <vt:lpstr>'Race Comm'!Print_Area</vt:lpstr>
      <vt:lpstr>Rhodes!Print_Area</vt:lpstr>
      <vt:lpstr>Shields!Print_Area</vt:lpstr>
      <vt:lpstr>Social!Print_Area</vt:lpstr>
      <vt:lpstr>Store!Print_Area</vt:lpstr>
      <vt:lpstr>Training!Print_Area</vt:lpstr>
      <vt:lpstr>WorkingBudget!Print_Area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Kneller</dc:creator>
  <cp:lastModifiedBy>kimlyons</cp:lastModifiedBy>
  <cp:lastPrinted>2018-11-20T01:36:19Z</cp:lastPrinted>
  <dcterms:created xsi:type="dcterms:W3CDTF">2015-02-03T21:32:39Z</dcterms:created>
  <dcterms:modified xsi:type="dcterms:W3CDTF">2021-12-08T00:59:24Z</dcterms:modified>
</cp:coreProperties>
</file>