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huck\SkyDrive\Active\"/>
    </mc:Choice>
  </mc:AlternateContent>
  <bookViews>
    <workbookView xWindow="0" yWindow="120" windowWidth="28800" windowHeight="12315"/>
  </bookViews>
  <sheets>
    <sheet name="Duty" sheetId="1" r:id="rId1"/>
    <sheet name="ROARS" sheetId="2" r:id="rId2"/>
    <sheet name="RC expenses" sheetId="3" r:id="rId3"/>
    <sheet name="DV-IDENTITY-0" sheetId="4" state="hidden" r:id="rId4"/>
    <sheet name="Race Kit" sheetId="5" r:id="rId5"/>
    <sheet name="Skippers" sheetId="6" r:id="rId6"/>
    <sheet name="Waivers" sheetId="9" r:id="rId7"/>
    <sheet name="Scoring Inquiry" sheetId="7" r:id="rId8"/>
    <sheet name="Declaration Form" sheetId="8" r:id="rId9"/>
  </sheets>
  <definedNames>
    <definedName name="_xlnm.Print_Area" localSheetId="0">Duty!$A$1:$G$43</definedName>
  </definedNames>
  <calcPr calcId="152511"/>
</workbook>
</file>

<file path=xl/calcChain.xml><?xml version="1.0" encoding="utf-8"?>
<calcChain xmlns="http://schemas.openxmlformats.org/spreadsheetml/2006/main">
  <c r="F70" i="2" l="1"/>
  <c r="D21" i="3"/>
  <c r="D19" i="3" l="1"/>
  <c r="D10" i="3" l="1"/>
  <c r="D61" i="5" l="1"/>
  <c r="K21" i="4"/>
  <c r="J21" i="4"/>
  <c r="I21" i="4"/>
  <c r="H21" i="4"/>
  <c r="F21" i="4"/>
  <c r="E21" i="4"/>
  <c r="D21" i="4"/>
  <c r="C21" i="4"/>
  <c r="B21" i="4"/>
  <c r="A21" i="4"/>
  <c r="A20" i="4"/>
  <c r="AE19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C19" i="4"/>
  <c r="B19" i="4"/>
  <c r="A19" i="4"/>
  <c r="A18" i="4"/>
  <c r="AK17" i="4"/>
  <c r="X17" i="4"/>
  <c r="W17" i="4"/>
  <c r="V17" i="4"/>
  <c r="U17" i="4"/>
  <c r="T17" i="4"/>
  <c r="S17" i="4"/>
  <c r="R17" i="4"/>
  <c r="Q17" i="4"/>
  <c r="P17" i="4"/>
  <c r="O17" i="4"/>
  <c r="N17" i="4"/>
  <c r="L17" i="4"/>
  <c r="K17" i="4"/>
  <c r="J17" i="4"/>
  <c r="I17" i="4"/>
  <c r="H17" i="4"/>
  <c r="G17" i="4"/>
  <c r="F17" i="4"/>
  <c r="E17" i="4"/>
  <c r="D17" i="4"/>
  <c r="C17" i="4"/>
  <c r="B17" i="4"/>
  <c r="H16" i="4"/>
  <c r="G16" i="4"/>
  <c r="F16" i="4"/>
  <c r="E16" i="4"/>
  <c r="D16" i="4"/>
  <c r="C16" i="4"/>
  <c r="B16" i="4"/>
  <c r="A16" i="4"/>
  <c r="CR15" i="4"/>
  <c r="CQ15" i="4"/>
  <c r="CP15" i="4"/>
  <c r="CO15" i="4"/>
  <c r="CM15" i="4"/>
  <c r="CL15" i="4"/>
  <c r="CK15" i="4"/>
  <c r="CJ15" i="4"/>
  <c r="CH15" i="4"/>
  <c r="CG15" i="4"/>
  <c r="CF15" i="4"/>
  <c r="CE15" i="4"/>
  <c r="CC15" i="4"/>
  <c r="CB15" i="4"/>
  <c r="CA15" i="4"/>
  <c r="BZ15" i="4"/>
  <c r="BX15" i="4"/>
  <c r="BW15" i="4"/>
  <c r="BV15" i="4"/>
  <c r="BU15" i="4"/>
  <c r="BS15" i="4"/>
  <c r="BR15" i="4"/>
  <c r="BQ15" i="4"/>
  <c r="BP15" i="4"/>
  <c r="BN15" i="4"/>
  <c r="BM15" i="4"/>
  <c r="BL15" i="4"/>
  <c r="BK15" i="4"/>
  <c r="BJ15" i="4"/>
  <c r="BH15" i="4"/>
  <c r="BG15" i="4"/>
  <c r="BF15" i="4"/>
  <c r="BE15" i="4"/>
  <c r="BD15" i="4"/>
  <c r="BB15" i="4"/>
  <c r="BA15" i="4"/>
  <c r="AZ15" i="4"/>
  <c r="AY15" i="4"/>
  <c r="AX15" i="4"/>
  <c r="AV15" i="4"/>
  <c r="AU15" i="4"/>
  <c r="AT15" i="4"/>
  <c r="AS15" i="4"/>
  <c r="AR15" i="4"/>
  <c r="AP15" i="4"/>
  <c r="AO15" i="4"/>
  <c r="AN15" i="4"/>
  <c r="AM15" i="4"/>
  <c r="AL15" i="4"/>
  <c r="AJ15" i="4"/>
  <c r="AI15" i="4"/>
  <c r="AH15" i="4"/>
  <c r="AG15" i="4"/>
  <c r="AF15" i="4"/>
  <c r="AD15" i="4"/>
  <c r="AC15" i="4"/>
  <c r="AB15" i="4"/>
  <c r="AA15" i="4"/>
  <c r="Z15" i="4"/>
  <c r="X15" i="4"/>
  <c r="W15" i="4"/>
  <c r="V15" i="4"/>
  <c r="U15" i="4"/>
  <c r="T15" i="4"/>
  <c r="R15" i="4"/>
  <c r="Q15" i="4"/>
  <c r="P15" i="4"/>
  <c r="O15" i="4"/>
  <c r="N15" i="4"/>
  <c r="L15" i="4"/>
  <c r="K15" i="4"/>
  <c r="J15" i="4"/>
  <c r="I15" i="4"/>
  <c r="H15" i="4"/>
  <c r="F15" i="4"/>
  <c r="E15" i="4"/>
  <c r="D15" i="4"/>
  <c r="C15" i="4"/>
  <c r="B15" i="4"/>
  <c r="IV14" i="4"/>
  <c r="IU14" i="4"/>
  <c r="IT14" i="4"/>
  <c r="IS14" i="4"/>
  <c r="IR14" i="4"/>
  <c r="IP14" i="4"/>
  <c r="IO14" i="4"/>
  <c r="IN14" i="4"/>
  <c r="IM14" i="4"/>
  <c r="IL14" i="4"/>
  <c r="IJ14" i="4"/>
  <c r="II14" i="4"/>
  <c r="IH14" i="4"/>
  <c r="IG14" i="4"/>
  <c r="IF14" i="4"/>
  <c r="ID14" i="4"/>
  <c r="IC14" i="4"/>
  <c r="IB14" i="4"/>
  <c r="IA14" i="4"/>
  <c r="HZ14" i="4"/>
  <c r="HX14" i="4"/>
  <c r="HW14" i="4"/>
  <c r="HV14" i="4"/>
  <c r="HU14" i="4"/>
  <c r="HT14" i="4"/>
  <c r="HR14" i="4"/>
  <c r="HQ14" i="4"/>
  <c r="HP14" i="4"/>
  <c r="HO14" i="4"/>
  <c r="HN14" i="4"/>
  <c r="HL14" i="4"/>
  <c r="HK14" i="4"/>
  <c r="HJ14" i="4"/>
  <c r="HI14" i="4"/>
  <c r="HH14" i="4"/>
  <c r="HF14" i="4"/>
  <c r="HE14" i="4"/>
  <c r="HD14" i="4"/>
  <c r="HC14" i="4"/>
  <c r="HB14" i="4"/>
  <c r="GZ14" i="4"/>
  <c r="GY14" i="4"/>
  <c r="GX14" i="4"/>
  <c r="GW14" i="4"/>
  <c r="GV14" i="4"/>
  <c r="GT14" i="4"/>
  <c r="GS14" i="4"/>
  <c r="GR14" i="4"/>
  <c r="GQ14" i="4"/>
  <c r="GP14" i="4"/>
  <c r="GN14" i="4"/>
  <c r="GM14" i="4"/>
  <c r="GL14" i="4"/>
  <c r="GK14" i="4"/>
  <c r="GJ14" i="4"/>
  <c r="GH14" i="4"/>
  <c r="GG14" i="4"/>
  <c r="GF14" i="4"/>
  <c r="GE14" i="4"/>
  <c r="GD14" i="4"/>
  <c r="GB14" i="4"/>
  <c r="GA14" i="4"/>
  <c r="FZ14" i="4"/>
  <c r="FY14" i="4"/>
  <c r="FX14" i="4"/>
  <c r="FV14" i="4"/>
  <c r="FU14" i="4"/>
  <c r="FT14" i="4"/>
  <c r="FS14" i="4"/>
  <c r="FR14" i="4"/>
  <c r="FP14" i="4"/>
  <c r="FO14" i="4"/>
  <c r="FN14" i="4"/>
  <c r="FM14" i="4"/>
  <c r="FL14" i="4"/>
  <c r="FJ14" i="4"/>
  <c r="FI14" i="4"/>
  <c r="FH14" i="4"/>
  <c r="FG14" i="4"/>
  <c r="FF14" i="4"/>
  <c r="FD14" i="4"/>
  <c r="FC14" i="4"/>
  <c r="FB14" i="4"/>
  <c r="FA14" i="4"/>
  <c r="EZ14" i="4"/>
  <c r="EX14" i="4"/>
  <c r="EW14" i="4"/>
  <c r="EV14" i="4"/>
  <c r="EU14" i="4"/>
  <c r="ET14" i="4"/>
  <c r="ER14" i="4"/>
  <c r="EQ14" i="4"/>
  <c r="EP14" i="4"/>
  <c r="EO14" i="4"/>
  <c r="EN14" i="4"/>
  <c r="EL14" i="4"/>
  <c r="EK14" i="4"/>
  <c r="EJ14" i="4"/>
  <c r="EI14" i="4"/>
  <c r="EH14" i="4"/>
  <c r="EF14" i="4"/>
  <c r="EE14" i="4"/>
  <c r="ED14" i="4"/>
  <c r="EC14" i="4"/>
  <c r="EB14" i="4"/>
  <c r="DZ14" i="4"/>
  <c r="DY14" i="4"/>
  <c r="DX14" i="4"/>
  <c r="DW14" i="4"/>
  <c r="DV14" i="4"/>
  <c r="DT14" i="4"/>
  <c r="DS14" i="4"/>
  <c r="DR14" i="4"/>
  <c r="DQ14" i="4"/>
  <c r="DP14" i="4"/>
  <c r="DN14" i="4"/>
  <c r="DM14" i="4"/>
  <c r="DL14" i="4"/>
  <c r="DK14" i="4"/>
  <c r="DJ14" i="4"/>
  <c r="DH14" i="4"/>
  <c r="DG14" i="4"/>
  <c r="DF14" i="4"/>
  <c r="DE14" i="4"/>
  <c r="DD14" i="4"/>
  <c r="DB14" i="4"/>
  <c r="DA14" i="4"/>
  <c r="CZ14" i="4"/>
  <c r="CY14" i="4"/>
  <c r="CX14" i="4"/>
  <c r="CV14" i="4"/>
  <c r="CU14" i="4"/>
  <c r="CT14" i="4"/>
  <c r="CS14" i="4"/>
  <c r="CR14" i="4"/>
  <c r="CP14" i="4"/>
  <c r="CO14" i="4"/>
  <c r="CN14" i="4"/>
  <c r="CM14" i="4"/>
  <c r="CL14" i="4"/>
  <c r="CJ14" i="4"/>
  <c r="CI14" i="4"/>
  <c r="CH14" i="4"/>
  <c r="CG14" i="4"/>
  <c r="CF14" i="4"/>
  <c r="CD14" i="4"/>
  <c r="CC14" i="4"/>
  <c r="CB14" i="4"/>
  <c r="CA14" i="4"/>
  <c r="BZ14" i="4"/>
  <c r="BX14" i="4"/>
  <c r="BW14" i="4"/>
  <c r="BV14" i="4"/>
  <c r="BU14" i="4"/>
  <c r="BT14" i="4"/>
  <c r="BR14" i="4"/>
  <c r="BQ14" i="4"/>
  <c r="BP14" i="4"/>
  <c r="BO14" i="4"/>
  <c r="BN14" i="4"/>
  <c r="BL14" i="4"/>
  <c r="BK14" i="4"/>
  <c r="BJ14" i="4"/>
  <c r="BI14" i="4"/>
  <c r="BH14" i="4"/>
  <c r="BF14" i="4"/>
  <c r="BE14" i="4"/>
  <c r="BD14" i="4"/>
  <c r="BC14" i="4"/>
  <c r="BB14" i="4"/>
  <c r="AZ14" i="4"/>
  <c r="AY14" i="4"/>
  <c r="AX14" i="4"/>
  <c r="AW14" i="4"/>
  <c r="AV14" i="4"/>
  <c r="AT14" i="4"/>
  <c r="AS14" i="4"/>
  <c r="AR14" i="4"/>
  <c r="AQ14" i="4"/>
  <c r="AP14" i="4"/>
  <c r="AN14" i="4"/>
  <c r="AM14" i="4"/>
  <c r="AL14" i="4"/>
  <c r="AK14" i="4"/>
  <c r="AJ14" i="4"/>
  <c r="AH14" i="4"/>
  <c r="AG14" i="4"/>
  <c r="AF14" i="4"/>
  <c r="AE14" i="4"/>
  <c r="AD14" i="4"/>
  <c r="AB14" i="4"/>
  <c r="AA14" i="4"/>
  <c r="Z14" i="4"/>
  <c r="Y14" i="4"/>
  <c r="X14" i="4"/>
  <c r="V14" i="4"/>
  <c r="U14" i="4"/>
  <c r="T14" i="4"/>
  <c r="S14" i="4"/>
  <c r="R14" i="4"/>
  <c r="P14" i="4"/>
  <c r="O14" i="4"/>
  <c r="N14" i="4"/>
  <c r="M14" i="4"/>
  <c r="L14" i="4"/>
  <c r="J14" i="4"/>
  <c r="I14" i="4"/>
  <c r="H14" i="4"/>
  <c r="G14" i="4"/>
  <c r="F14" i="4"/>
  <c r="D14" i="4"/>
  <c r="C14" i="4"/>
  <c r="B14" i="4"/>
  <c r="A14" i="4"/>
  <c r="CT13" i="4"/>
  <c r="CK13" i="4"/>
  <c r="CJ13" i="4"/>
  <c r="CI13" i="4"/>
  <c r="CH13" i="4"/>
  <c r="CG13" i="4"/>
  <c r="CF13" i="4"/>
  <c r="CE13" i="4"/>
  <c r="CC13" i="4"/>
  <c r="CB13" i="4"/>
  <c r="CA13" i="4"/>
  <c r="BZ13" i="4"/>
  <c r="BY13" i="4"/>
  <c r="BX13" i="4"/>
  <c r="BW13" i="4"/>
  <c r="BT13" i="4"/>
  <c r="BS13" i="4"/>
  <c r="BR13" i="4"/>
  <c r="BQ13" i="4"/>
  <c r="BP13" i="4"/>
  <c r="BO13" i="4"/>
  <c r="BN13" i="4"/>
  <c r="BM13" i="4"/>
  <c r="BL13" i="4"/>
  <c r="BK13" i="4"/>
  <c r="BJ13" i="4"/>
  <c r="BI13" i="4"/>
  <c r="BH13" i="4"/>
  <c r="BG13" i="4"/>
  <c r="BF13" i="4"/>
  <c r="BE13" i="4"/>
  <c r="BD13" i="4"/>
  <c r="BC13" i="4"/>
  <c r="BB13" i="4"/>
  <c r="BA13" i="4"/>
  <c r="AZ13" i="4"/>
  <c r="AY13" i="4"/>
  <c r="AX13" i="4"/>
  <c r="AW13" i="4"/>
  <c r="AV13" i="4"/>
  <c r="AU13" i="4"/>
  <c r="AT13" i="4"/>
  <c r="AS13" i="4"/>
  <c r="AR13" i="4"/>
  <c r="AQ13" i="4"/>
  <c r="AP13" i="4"/>
  <c r="AO13" i="4"/>
  <c r="AN13" i="4"/>
  <c r="AM13" i="4"/>
  <c r="AL13" i="4"/>
  <c r="AK13" i="4"/>
  <c r="AJ13" i="4"/>
  <c r="AI13" i="4"/>
  <c r="AH13" i="4"/>
  <c r="AG13" i="4"/>
  <c r="AF13" i="4"/>
  <c r="AE13" i="4"/>
  <c r="AD13" i="4"/>
  <c r="AC13" i="4"/>
  <c r="AB13" i="4"/>
  <c r="AA13" i="4"/>
  <c r="Z13" i="4"/>
  <c r="Y13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K13" i="4"/>
  <c r="J13" i="4"/>
  <c r="I13" i="4"/>
  <c r="H13" i="4"/>
  <c r="G13" i="4"/>
  <c r="F13" i="4"/>
  <c r="E13" i="4"/>
  <c r="D13" i="4"/>
  <c r="C13" i="4"/>
  <c r="B13" i="4"/>
  <c r="A13" i="4"/>
  <c r="A12" i="4"/>
  <c r="CV11" i="4"/>
  <c r="CU11" i="4"/>
  <c r="CT11" i="4"/>
  <c r="CS11" i="4"/>
  <c r="CR11" i="4"/>
  <c r="CQ11" i="4"/>
  <c r="CP11" i="4"/>
  <c r="CO11" i="4"/>
  <c r="CN11" i="4"/>
  <c r="CM11" i="4"/>
  <c r="CL11" i="4"/>
  <c r="CK11" i="4"/>
  <c r="CJ11" i="4"/>
  <c r="CI11" i="4"/>
  <c r="CH11" i="4"/>
  <c r="CG11" i="4"/>
  <c r="CF11" i="4"/>
  <c r="CE11" i="4"/>
  <c r="CD11" i="4"/>
  <c r="CC11" i="4"/>
  <c r="CB11" i="4"/>
  <c r="CA11" i="4"/>
  <c r="BZ11" i="4"/>
  <c r="BY11" i="4"/>
  <c r="BX11" i="4"/>
  <c r="BW11" i="4"/>
  <c r="BV11" i="4"/>
  <c r="BU11" i="4"/>
  <c r="BT11" i="4"/>
  <c r="BS11" i="4"/>
  <c r="BR11" i="4"/>
  <c r="BQ11" i="4"/>
  <c r="BP11" i="4"/>
  <c r="BO11" i="4"/>
  <c r="BM11" i="4"/>
  <c r="BL11" i="4"/>
  <c r="BK11" i="4"/>
  <c r="BJ11" i="4"/>
  <c r="BI11" i="4"/>
  <c r="BH11" i="4"/>
  <c r="BG11" i="4"/>
  <c r="BF11" i="4"/>
  <c r="BE11" i="4"/>
  <c r="BD11" i="4"/>
  <c r="BC11" i="4"/>
  <c r="BB11" i="4"/>
  <c r="BA11" i="4"/>
  <c r="AZ11" i="4"/>
  <c r="AY11" i="4"/>
  <c r="AX11" i="4"/>
  <c r="AW11" i="4"/>
  <c r="AV11" i="4"/>
  <c r="AT11" i="4"/>
  <c r="AS11" i="4"/>
  <c r="AR11" i="4"/>
  <c r="AQ11" i="4"/>
  <c r="AP11" i="4"/>
  <c r="AO11" i="4"/>
  <c r="AN11" i="4"/>
  <c r="AM11" i="4"/>
  <c r="AL11" i="4"/>
  <c r="AK11" i="4"/>
  <c r="AJ11" i="4"/>
  <c r="AI11" i="4"/>
  <c r="AH11" i="4"/>
  <c r="AG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O11" i="4"/>
  <c r="N11" i="4"/>
  <c r="M11" i="4"/>
  <c r="L11" i="4"/>
  <c r="K11" i="4"/>
  <c r="J11" i="4"/>
  <c r="I11" i="4"/>
  <c r="H11" i="4"/>
  <c r="G11" i="4"/>
  <c r="F11" i="4"/>
  <c r="E11" i="4"/>
  <c r="D11" i="4"/>
  <c r="C11" i="4"/>
  <c r="B11" i="4"/>
  <c r="A11" i="4"/>
  <c r="AB10" i="4"/>
  <c r="AA10" i="4"/>
  <c r="Z10" i="4"/>
  <c r="Y10" i="4"/>
  <c r="X10" i="4"/>
  <c r="W10" i="4"/>
  <c r="U10" i="4"/>
  <c r="T10" i="4"/>
  <c r="S10" i="4"/>
  <c r="R10" i="4"/>
  <c r="Q10" i="4"/>
  <c r="P10" i="4"/>
  <c r="N10" i="4"/>
  <c r="M10" i="4"/>
  <c r="L10" i="4"/>
  <c r="K10" i="4"/>
  <c r="J10" i="4"/>
  <c r="I10" i="4"/>
  <c r="G10" i="4"/>
  <c r="F10" i="4"/>
  <c r="E10" i="4"/>
  <c r="D10" i="4"/>
  <c r="C10" i="4"/>
  <c r="B10" i="4"/>
  <c r="IV9" i="4"/>
  <c r="IU9" i="4"/>
  <c r="IT9" i="4"/>
  <c r="IS9" i="4"/>
  <c r="IR9" i="4"/>
  <c r="IQ9" i="4"/>
  <c r="IO9" i="4"/>
  <c r="IN9" i="4"/>
  <c r="IM9" i="4"/>
  <c r="IL9" i="4"/>
  <c r="IK9" i="4"/>
  <c r="IJ9" i="4"/>
  <c r="IH9" i="4"/>
  <c r="IG9" i="4"/>
  <c r="IF9" i="4"/>
  <c r="IE9" i="4"/>
  <c r="ID9" i="4"/>
  <c r="IC9" i="4"/>
  <c r="IA9" i="4"/>
  <c r="HZ9" i="4"/>
  <c r="HY9" i="4"/>
  <c r="HX9" i="4"/>
  <c r="HW9" i="4"/>
  <c r="HV9" i="4"/>
  <c r="HT9" i="4"/>
  <c r="HS9" i="4"/>
  <c r="HR9" i="4"/>
  <c r="HQ9" i="4"/>
  <c r="HP9" i="4"/>
  <c r="HO9" i="4"/>
  <c r="HM9" i="4"/>
  <c r="HL9" i="4"/>
  <c r="HK9" i="4"/>
  <c r="HJ9" i="4"/>
  <c r="HI9" i="4"/>
  <c r="HH9" i="4"/>
  <c r="HF9" i="4"/>
  <c r="HE9" i="4"/>
  <c r="HD9" i="4"/>
  <c r="HC9" i="4"/>
  <c r="HB9" i="4"/>
  <c r="HA9" i="4"/>
  <c r="GY9" i="4"/>
  <c r="GX9" i="4"/>
  <c r="GW9" i="4"/>
  <c r="GV9" i="4"/>
  <c r="GU9" i="4"/>
  <c r="GT9" i="4"/>
  <c r="GR9" i="4"/>
  <c r="GQ9" i="4"/>
  <c r="GP9" i="4"/>
  <c r="GO9" i="4"/>
  <c r="GN9" i="4"/>
  <c r="GM9" i="4"/>
  <c r="GK9" i="4"/>
  <c r="GJ9" i="4"/>
  <c r="GI9" i="4"/>
  <c r="GH9" i="4"/>
  <c r="GG9" i="4"/>
  <c r="GF9" i="4"/>
  <c r="GD9" i="4"/>
  <c r="GC9" i="4"/>
  <c r="GB9" i="4"/>
  <c r="GA9" i="4"/>
  <c r="FZ9" i="4"/>
  <c r="FY9" i="4"/>
  <c r="FW9" i="4"/>
  <c r="FV9" i="4"/>
  <c r="FU9" i="4"/>
  <c r="FT9" i="4"/>
  <c r="FS9" i="4"/>
  <c r="FR9" i="4"/>
  <c r="FP9" i="4"/>
  <c r="FO9" i="4"/>
  <c r="FN9" i="4"/>
  <c r="FM9" i="4"/>
  <c r="FL9" i="4"/>
  <c r="FK9" i="4"/>
  <c r="FI9" i="4"/>
  <c r="FH9" i="4"/>
  <c r="FG9" i="4"/>
  <c r="FF9" i="4"/>
  <c r="FE9" i="4"/>
  <c r="FD9" i="4"/>
  <c r="FB9" i="4"/>
  <c r="FA9" i="4"/>
  <c r="EZ9" i="4"/>
  <c r="EY9" i="4"/>
  <c r="EX9" i="4"/>
  <c r="EW9" i="4"/>
  <c r="EU9" i="4"/>
  <c r="ET9" i="4"/>
  <c r="ES9" i="4"/>
  <c r="ER9" i="4"/>
  <c r="EQ9" i="4"/>
  <c r="EP9" i="4"/>
  <c r="EN9" i="4"/>
  <c r="EM9" i="4"/>
  <c r="EL9" i="4"/>
  <c r="EK9" i="4"/>
  <c r="EJ9" i="4"/>
  <c r="EI9" i="4"/>
  <c r="EG9" i="4"/>
  <c r="EF9" i="4"/>
  <c r="EE9" i="4"/>
  <c r="ED9" i="4"/>
  <c r="EC9" i="4"/>
  <c r="EB9" i="4"/>
  <c r="DZ9" i="4"/>
  <c r="DY9" i="4"/>
  <c r="DX9" i="4"/>
  <c r="DW9" i="4"/>
  <c r="DV9" i="4"/>
  <c r="DU9" i="4"/>
  <c r="DS9" i="4"/>
  <c r="DR9" i="4"/>
  <c r="DQ9" i="4"/>
  <c r="DP9" i="4"/>
  <c r="DO9" i="4"/>
  <c r="DN9" i="4"/>
  <c r="DL9" i="4"/>
  <c r="DK9" i="4"/>
  <c r="DJ9" i="4"/>
  <c r="DI9" i="4"/>
  <c r="DH9" i="4"/>
  <c r="DG9" i="4"/>
  <c r="DE9" i="4"/>
  <c r="DD9" i="4"/>
  <c r="DC9" i="4"/>
  <c r="DB9" i="4"/>
  <c r="DA9" i="4"/>
  <c r="CZ9" i="4"/>
  <c r="CX9" i="4"/>
  <c r="CW9" i="4"/>
  <c r="CV9" i="4"/>
  <c r="CU9" i="4"/>
  <c r="CT9" i="4"/>
  <c r="CS9" i="4"/>
  <c r="CQ9" i="4"/>
  <c r="CP9" i="4"/>
  <c r="CO9" i="4"/>
  <c r="CN9" i="4"/>
  <c r="CM9" i="4"/>
  <c r="CL9" i="4"/>
  <c r="CJ9" i="4"/>
  <c r="CI9" i="4"/>
  <c r="CH9" i="4"/>
  <c r="CG9" i="4"/>
  <c r="CF9" i="4"/>
  <c r="CE9" i="4"/>
  <c r="CD9" i="4"/>
  <c r="CC9" i="4"/>
  <c r="CB9" i="4"/>
  <c r="CA9" i="4"/>
  <c r="BZ9" i="4"/>
  <c r="BY9" i="4"/>
  <c r="BX9" i="4"/>
  <c r="BW9" i="4"/>
  <c r="BV9" i="4"/>
  <c r="BU9" i="4"/>
  <c r="BT9" i="4"/>
  <c r="BS9" i="4"/>
  <c r="BR9" i="4"/>
  <c r="BQ9" i="4"/>
  <c r="BP9" i="4"/>
  <c r="BO9" i="4"/>
  <c r="BN9" i="4"/>
  <c r="BM9" i="4"/>
  <c r="BL9" i="4"/>
  <c r="BK9" i="4"/>
  <c r="BJ9" i="4"/>
  <c r="BI9" i="4"/>
  <c r="BH9" i="4"/>
  <c r="BG9" i="4"/>
  <c r="BF9" i="4"/>
  <c r="BE9" i="4"/>
  <c r="BD9" i="4"/>
  <c r="BC9" i="4"/>
  <c r="BB9" i="4"/>
  <c r="BA9" i="4"/>
  <c r="AZ9" i="4"/>
  <c r="AY9" i="4"/>
  <c r="AX9" i="4"/>
  <c r="AW9" i="4"/>
  <c r="AV9" i="4"/>
  <c r="AU9" i="4"/>
  <c r="AT9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D9" i="4"/>
  <c r="C9" i="4"/>
  <c r="B9" i="4"/>
  <c r="A9" i="4"/>
  <c r="BC8" i="4"/>
  <c r="BB8" i="4"/>
  <c r="BA8" i="4"/>
  <c r="AZ8" i="4"/>
  <c r="AX8" i="4"/>
  <c r="AW8" i="4"/>
  <c r="AV8" i="4"/>
  <c r="AU8" i="4"/>
  <c r="AS8" i="4"/>
  <c r="AR8" i="4"/>
  <c r="AQ8" i="4"/>
  <c r="AP8" i="4"/>
  <c r="AN8" i="4"/>
  <c r="AM8" i="4"/>
  <c r="AL8" i="4"/>
  <c r="AK8" i="4"/>
  <c r="AI8" i="4"/>
  <c r="AH8" i="4"/>
  <c r="AG8" i="4"/>
  <c r="AF8" i="4"/>
  <c r="AD8" i="4"/>
  <c r="AC8" i="4"/>
  <c r="AB8" i="4"/>
  <c r="AA8" i="4"/>
  <c r="Y8" i="4"/>
  <c r="X8" i="4"/>
  <c r="W8" i="4"/>
  <c r="V8" i="4"/>
  <c r="T8" i="4"/>
  <c r="S8" i="4"/>
  <c r="R8" i="4"/>
  <c r="Q8" i="4"/>
  <c r="P8" i="4"/>
  <c r="O8" i="4"/>
  <c r="N8" i="4"/>
  <c r="M8" i="4"/>
  <c r="L8" i="4"/>
  <c r="K8" i="4"/>
  <c r="J8" i="4"/>
  <c r="I8" i="4"/>
  <c r="H8" i="4"/>
  <c r="G8" i="4"/>
  <c r="F8" i="4"/>
  <c r="E8" i="4"/>
  <c r="D8" i="4"/>
  <c r="C8" i="4"/>
  <c r="B8" i="4"/>
  <c r="A8" i="4"/>
  <c r="CI7" i="4"/>
  <c r="CH7" i="4"/>
  <c r="CG7" i="4"/>
  <c r="CF7" i="4"/>
  <c r="CE7" i="4"/>
  <c r="CD7" i="4"/>
  <c r="CC7" i="4"/>
  <c r="CB7" i="4"/>
  <c r="CA7" i="4"/>
  <c r="BZ7" i="4"/>
  <c r="BY7" i="4"/>
  <c r="BX7" i="4"/>
  <c r="BV7" i="4"/>
  <c r="BU7" i="4"/>
  <c r="BT7" i="4"/>
  <c r="BS7" i="4"/>
  <c r="BR7" i="4"/>
  <c r="BQ7" i="4"/>
  <c r="BP7" i="4"/>
  <c r="BO7" i="4"/>
  <c r="BN7" i="4"/>
  <c r="BM7" i="4"/>
  <c r="BL7" i="4"/>
  <c r="BK7" i="4"/>
  <c r="BI7" i="4"/>
  <c r="BH7" i="4"/>
  <c r="BG7" i="4"/>
  <c r="BF7" i="4"/>
  <c r="BE7" i="4"/>
  <c r="BD7" i="4"/>
  <c r="BC7" i="4"/>
  <c r="BB7" i="4"/>
  <c r="BA7" i="4"/>
  <c r="AZ7" i="4"/>
  <c r="AY7" i="4"/>
  <c r="AX7" i="4"/>
  <c r="AV7" i="4"/>
  <c r="AU7" i="4"/>
  <c r="AT7" i="4"/>
  <c r="AS7" i="4"/>
  <c r="AR7" i="4"/>
  <c r="AQ7" i="4"/>
  <c r="AP7" i="4"/>
  <c r="AO7" i="4"/>
  <c r="AN7" i="4"/>
  <c r="AM7" i="4"/>
  <c r="AL7" i="4"/>
  <c r="AK7" i="4"/>
  <c r="AJ7" i="4"/>
  <c r="AI7" i="4"/>
  <c r="AH7" i="4"/>
  <c r="AG7" i="4"/>
  <c r="AF7" i="4"/>
  <c r="AE7" i="4"/>
  <c r="AD7" i="4"/>
  <c r="AC7" i="4"/>
  <c r="AB7" i="4"/>
  <c r="AA7" i="4"/>
  <c r="Z7" i="4"/>
  <c r="Y7" i="4"/>
  <c r="X7" i="4"/>
  <c r="W7" i="4"/>
  <c r="V7" i="4"/>
  <c r="U7" i="4"/>
  <c r="T7" i="4"/>
  <c r="S7" i="4"/>
  <c r="R7" i="4"/>
  <c r="Q7" i="4"/>
  <c r="P7" i="4"/>
  <c r="O7" i="4"/>
  <c r="N7" i="4"/>
  <c r="M7" i="4"/>
  <c r="L7" i="4"/>
  <c r="K7" i="4"/>
  <c r="J7" i="4"/>
  <c r="I7" i="4"/>
  <c r="H7" i="4"/>
  <c r="G7" i="4"/>
  <c r="F7" i="4"/>
  <c r="E7" i="4"/>
  <c r="D7" i="4"/>
  <c r="C7" i="4"/>
  <c r="B7" i="4"/>
  <c r="A7" i="4"/>
  <c r="J6" i="4"/>
  <c r="I6" i="4"/>
  <c r="H6" i="4"/>
  <c r="G6" i="4"/>
  <c r="F6" i="4"/>
  <c r="E6" i="4"/>
  <c r="D6" i="4"/>
  <c r="C6" i="4"/>
  <c r="B6" i="4"/>
  <c r="A6" i="4"/>
  <c r="IV5" i="4"/>
  <c r="IU5" i="4"/>
  <c r="IT5" i="4"/>
  <c r="IS5" i="4"/>
  <c r="IR5" i="4"/>
  <c r="IQ5" i="4"/>
  <c r="IP5" i="4"/>
  <c r="IN5" i="4"/>
  <c r="IM5" i="4"/>
  <c r="IL5" i="4"/>
  <c r="IK5" i="4"/>
  <c r="IJ5" i="4"/>
  <c r="II5" i="4"/>
  <c r="IH5" i="4"/>
  <c r="IG5" i="4"/>
  <c r="IE5" i="4"/>
  <c r="ID5" i="4"/>
  <c r="IC5" i="4"/>
  <c r="IB5" i="4"/>
  <c r="IA5" i="4"/>
  <c r="HZ5" i="4"/>
  <c r="HY5" i="4"/>
  <c r="HX5" i="4"/>
  <c r="HV5" i="4"/>
  <c r="HU5" i="4"/>
  <c r="HT5" i="4"/>
  <c r="HS5" i="4"/>
  <c r="HR5" i="4"/>
  <c r="HQ5" i="4"/>
  <c r="HP5" i="4"/>
  <c r="HO5" i="4"/>
  <c r="HM5" i="4"/>
  <c r="HL5" i="4"/>
  <c r="HK5" i="4"/>
  <c r="HJ5" i="4"/>
  <c r="HI5" i="4"/>
  <c r="HH5" i="4"/>
  <c r="HG5" i="4"/>
  <c r="HF5" i="4"/>
  <c r="HD5" i="4"/>
  <c r="HC5" i="4"/>
  <c r="HB5" i="4"/>
  <c r="HA5" i="4"/>
  <c r="GZ5" i="4"/>
  <c r="GY5" i="4"/>
  <c r="GX5" i="4"/>
  <c r="GW5" i="4"/>
  <c r="GU5" i="4"/>
  <c r="GT5" i="4"/>
  <c r="GS5" i="4"/>
  <c r="GR5" i="4"/>
  <c r="GQ5" i="4"/>
  <c r="GP5" i="4"/>
  <c r="GO5" i="4"/>
  <c r="GN5" i="4"/>
  <c r="GL5" i="4"/>
  <c r="GK5" i="4"/>
  <c r="GJ5" i="4"/>
  <c r="GI5" i="4"/>
  <c r="GH5" i="4"/>
  <c r="GG5" i="4"/>
  <c r="GF5" i="4"/>
  <c r="GE5" i="4"/>
  <c r="GC5" i="4"/>
  <c r="GB5" i="4"/>
  <c r="GA5" i="4"/>
  <c r="FZ5" i="4"/>
  <c r="FY5" i="4"/>
  <c r="FX5" i="4"/>
  <c r="FW5" i="4"/>
  <c r="FV5" i="4"/>
  <c r="FT5" i="4"/>
  <c r="FS5" i="4"/>
  <c r="FR5" i="4"/>
  <c r="FQ5" i="4"/>
  <c r="FP5" i="4"/>
  <c r="FO5" i="4"/>
  <c r="FN5" i="4"/>
  <c r="FM5" i="4"/>
  <c r="FK5" i="4"/>
  <c r="FJ5" i="4"/>
  <c r="FI5" i="4"/>
  <c r="FH5" i="4"/>
  <c r="FG5" i="4"/>
  <c r="FF5" i="4"/>
  <c r="FE5" i="4"/>
  <c r="FD5" i="4"/>
  <c r="FB5" i="4"/>
  <c r="FA5" i="4"/>
  <c r="EZ5" i="4"/>
  <c r="EY5" i="4"/>
  <c r="EX5" i="4"/>
  <c r="EW5" i="4"/>
  <c r="EV5" i="4"/>
  <c r="EU5" i="4"/>
  <c r="ES5" i="4"/>
  <c r="ER5" i="4"/>
  <c r="EQ5" i="4"/>
  <c r="EP5" i="4"/>
  <c r="EO5" i="4"/>
  <c r="EN5" i="4"/>
  <c r="EM5" i="4"/>
  <c r="EL5" i="4"/>
  <c r="EJ5" i="4"/>
  <c r="EI5" i="4"/>
  <c r="EH5" i="4"/>
  <c r="EG5" i="4"/>
  <c r="EF5" i="4"/>
  <c r="EE5" i="4"/>
  <c r="ED5" i="4"/>
  <c r="EC5" i="4"/>
  <c r="EA5" i="4"/>
  <c r="DZ5" i="4"/>
  <c r="DY5" i="4"/>
  <c r="DX5" i="4"/>
  <c r="DW5" i="4"/>
  <c r="DV5" i="4"/>
  <c r="DU5" i="4"/>
  <c r="DT5" i="4"/>
  <c r="DR5" i="4"/>
  <c r="DQ5" i="4"/>
  <c r="DP5" i="4"/>
  <c r="DO5" i="4"/>
  <c r="DN5" i="4"/>
  <c r="DM5" i="4"/>
  <c r="DL5" i="4"/>
  <c r="DK5" i="4"/>
  <c r="DI5" i="4"/>
  <c r="DH5" i="4"/>
  <c r="DG5" i="4"/>
  <c r="DF5" i="4"/>
  <c r="DE5" i="4"/>
  <c r="DD5" i="4"/>
  <c r="DC5" i="4"/>
  <c r="DB5" i="4"/>
  <c r="CZ5" i="4"/>
  <c r="CY5" i="4"/>
  <c r="CX5" i="4"/>
  <c r="CW5" i="4"/>
  <c r="CV5" i="4"/>
  <c r="CU5" i="4"/>
  <c r="CT5" i="4"/>
  <c r="BY5" i="4"/>
  <c r="BX5" i="4"/>
  <c r="BW5" i="4"/>
  <c r="BV5" i="4"/>
  <c r="BU5" i="4"/>
  <c r="BT5" i="4"/>
  <c r="BR5" i="4"/>
  <c r="BQ5" i="4"/>
  <c r="BP5" i="4"/>
  <c r="BO5" i="4"/>
  <c r="BN5" i="4"/>
  <c r="BM5" i="4"/>
  <c r="BK5" i="4"/>
  <c r="BJ5" i="4"/>
  <c r="BI5" i="4"/>
  <c r="BH5" i="4"/>
  <c r="BG5" i="4"/>
  <c r="BF5" i="4"/>
  <c r="BD5" i="4"/>
  <c r="BC5" i="4"/>
  <c r="BB5" i="4"/>
  <c r="BA5" i="4"/>
  <c r="AZ5" i="4"/>
  <c r="AY5" i="4"/>
  <c r="AW5" i="4"/>
  <c r="AV5" i="4"/>
  <c r="AU5" i="4"/>
  <c r="AT5" i="4"/>
  <c r="AS5" i="4"/>
  <c r="AR5" i="4"/>
  <c r="AP5" i="4"/>
  <c r="AO5" i="4"/>
  <c r="AN5" i="4"/>
  <c r="AM5" i="4"/>
  <c r="AL5" i="4"/>
  <c r="AK5" i="4"/>
  <c r="AI5" i="4"/>
  <c r="AH5" i="4"/>
  <c r="AG5" i="4"/>
  <c r="AF5" i="4"/>
  <c r="AE5" i="4"/>
  <c r="AD5" i="4"/>
  <c r="AB5" i="4"/>
  <c r="AA5" i="4"/>
  <c r="Z5" i="4"/>
  <c r="Y5" i="4"/>
  <c r="X5" i="4"/>
  <c r="W5" i="4"/>
  <c r="U5" i="4"/>
  <c r="T5" i="4"/>
  <c r="S5" i="4"/>
  <c r="R5" i="4"/>
  <c r="Q5" i="4"/>
  <c r="P5" i="4"/>
  <c r="O5" i="4"/>
  <c r="N5" i="4"/>
  <c r="M5" i="4"/>
  <c r="L5" i="4"/>
  <c r="K5" i="4"/>
  <c r="J5" i="4"/>
  <c r="I5" i="4"/>
  <c r="H5" i="4"/>
  <c r="G5" i="4"/>
  <c r="F5" i="4"/>
  <c r="E5" i="4"/>
  <c r="D5" i="4"/>
  <c r="C5" i="4"/>
  <c r="B5" i="4"/>
  <c r="CK4" i="4"/>
  <c r="CH4" i="4"/>
  <c r="BV4" i="4"/>
  <c r="BQ4" i="4"/>
  <c r="BP4" i="4"/>
  <c r="BO4" i="4"/>
  <c r="BN4" i="4"/>
  <c r="BM4" i="4"/>
  <c r="BL4" i="4"/>
  <c r="BK4" i="4"/>
  <c r="BJ4" i="4"/>
  <c r="BI4" i="4"/>
  <c r="BH4" i="4"/>
  <c r="BG4" i="4"/>
  <c r="BF4" i="4"/>
  <c r="BE4" i="4"/>
  <c r="BD4" i="4"/>
  <c r="BC4" i="4"/>
  <c r="BB4" i="4"/>
  <c r="BA4" i="4"/>
  <c r="AZ4" i="4"/>
  <c r="AY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AJ4" i="4"/>
  <c r="AI4" i="4"/>
  <c r="AH4" i="4"/>
  <c r="AG4" i="4"/>
  <c r="AF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K4" i="4"/>
  <c r="J4" i="4"/>
  <c r="I4" i="4"/>
  <c r="H4" i="4"/>
  <c r="G4" i="4"/>
  <c r="F4" i="4"/>
  <c r="E4" i="4"/>
  <c r="D4" i="4"/>
  <c r="C4" i="4"/>
  <c r="B4" i="4"/>
  <c r="A4" i="4"/>
  <c r="IV3" i="4"/>
  <c r="IU3" i="4"/>
  <c r="IT3" i="4"/>
  <c r="IS3" i="4"/>
  <c r="IR3" i="4"/>
  <c r="IQ3" i="4"/>
  <c r="IP3" i="4"/>
  <c r="IN3" i="4"/>
  <c r="IM3" i="4"/>
  <c r="IL3" i="4"/>
  <c r="IK3" i="4"/>
  <c r="IJ3" i="4"/>
  <c r="II3" i="4"/>
  <c r="IH3" i="4"/>
  <c r="IG3" i="4"/>
  <c r="IF3" i="4"/>
  <c r="IE3" i="4"/>
  <c r="ID3" i="4"/>
  <c r="IC3" i="4"/>
  <c r="IB3" i="4"/>
  <c r="IA3" i="4"/>
  <c r="HZ3" i="4"/>
  <c r="HY3" i="4"/>
  <c r="HX3" i="4"/>
  <c r="HW3" i="4"/>
  <c r="HU3" i="4"/>
  <c r="HT3" i="4"/>
  <c r="HS3" i="4"/>
  <c r="HR3" i="4"/>
  <c r="HQ3" i="4"/>
  <c r="HP3" i="4"/>
  <c r="HO3" i="4"/>
  <c r="HN3" i="4"/>
  <c r="HM3" i="4"/>
  <c r="HL3" i="4"/>
  <c r="HK3" i="4"/>
  <c r="HJ3" i="4"/>
  <c r="HI3" i="4"/>
  <c r="HH3" i="4"/>
  <c r="HG3" i="4"/>
  <c r="HF3" i="4"/>
  <c r="HE3" i="4"/>
  <c r="HD3" i="4"/>
  <c r="HB3" i="4"/>
  <c r="HA3" i="4"/>
  <c r="GZ3" i="4"/>
  <c r="GY3" i="4"/>
  <c r="GX3" i="4"/>
  <c r="GW3" i="4"/>
  <c r="GV3" i="4"/>
  <c r="GU3" i="4"/>
  <c r="GT3" i="4"/>
  <c r="GS3" i="4"/>
  <c r="GR3" i="4"/>
  <c r="GQ3" i="4"/>
  <c r="GP3" i="4"/>
  <c r="GO3" i="4"/>
  <c r="GN3" i="4"/>
  <c r="GM3" i="4"/>
  <c r="GL3" i="4"/>
  <c r="GK3" i="4"/>
  <c r="GI3" i="4"/>
  <c r="GH3" i="4"/>
  <c r="GG3" i="4"/>
  <c r="GF3" i="4"/>
  <c r="GE3" i="4"/>
  <c r="GD3" i="4"/>
  <c r="GC3" i="4"/>
  <c r="GB3" i="4"/>
  <c r="GA3" i="4"/>
  <c r="FZ3" i="4"/>
  <c r="FY3" i="4"/>
  <c r="FX3" i="4"/>
  <c r="FW3" i="4"/>
  <c r="FV3" i="4"/>
  <c r="FU3" i="4"/>
  <c r="FT3" i="4"/>
  <c r="FS3" i="4"/>
  <c r="FR3" i="4"/>
  <c r="FQ3" i="4"/>
  <c r="FP3" i="4"/>
  <c r="FO3" i="4"/>
  <c r="FN3" i="4"/>
  <c r="FM3" i="4"/>
  <c r="FL3" i="4"/>
  <c r="FK3" i="4"/>
  <c r="FJ3" i="4"/>
  <c r="FI3" i="4"/>
  <c r="FH3" i="4"/>
  <c r="FG3" i="4"/>
  <c r="FF3" i="4"/>
  <c r="FE3" i="4"/>
  <c r="FD3" i="4"/>
  <c r="FC3" i="4"/>
  <c r="FB3" i="4"/>
  <c r="FA3" i="4"/>
  <c r="EZ3" i="4"/>
  <c r="EY3" i="4"/>
  <c r="EW3" i="4"/>
  <c r="EV3" i="4"/>
  <c r="EU3" i="4"/>
  <c r="ET3" i="4"/>
  <c r="ES3" i="4"/>
  <c r="ER3" i="4"/>
  <c r="EQ3" i="4"/>
  <c r="EP3" i="4"/>
  <c r="EO3" i="4"/>
  <c r="EN3" i="4"/>
  <c r="EM3" i="4"/>
  <c r="EL3" i="4"/>
  <c r="EK3" i="4"/>
  <c r="EJ3" i="4"/>
  <c r="EI3" i="4"/>
  <c r="EH3" i="4"/>
  <c r="EG3" i="4"/>
  <c r="EF3" i="4"/>
  <c r="ED3" i="4"/>
  <c r="EC3" i="4"/>
  <c r="EB3" i="4"/>
  <c r="EA3" i="4"/>
  <c r="DZ3" i="4"/>
  <c r="DY3" i="4"/>
  <c r="DX3" i="4"/>
  <c r="DW3" i="4"/>
  <c r="DV3" i="4"/>
  <c r="DU3" i="4"/>
  <c r="DT3" i="4"/>
  <c r="DS3" i="4"/>
  <c r="DR3" i="4"/>
  <c r="DQ3" i="4"/>
  <c r="DP3" i="4"/>
  <c r="DO3" i="4"/>
  <c r="DN3" i="4"/>
  <c r="DM3" i="4"/>
  <c r="DL3" i="4"/>
  <c r="DK3" i="4"/>
  <c r="DJ3" i="4"/>
  <c r="DI3" i="4"/>
  <c r="DH3" i="4"/>
  <c r="DG3" i="4"/>
  <c r="DF3" i="4"/>
  <c r="DE3" i="4"/>
  <c r="DD3" i="4"/>
  <c r="DC3" i="4"/>
  <c r="DB3" i="4"/>
  <c r="DA3" i="4"/>
  <c r="CZ3" i="4"/>
  <c r="CY3" i="4"/>
  <c r="CX3" i="4"/>
  <c r="CW3" i="4"/>
  <c r="CV3" i="4"/>
  <c r="CU3" i="4"/>
  <c r="CT3" i="4"/>
  <c r="CR3" i="4"/>
  <c r="CQ3" i="4"/>
  <c r="CP3" i="4"/>
  <c r="CO3" i="4"/>
  <c r="CN3" i="4"/>
  <c r="CM3" i="4"/>
  <c r="CL3" i="4"/>
  <c r="CK3" i="4"/>
  <c r="CJ3" i="4"/>
  <c r="CI3" i="4"/>
  <c r="CH3" i="4"/>
  <c r="CG3" i="4"/>
  <c r="CF3" i="4"/>
  <c r="CE3" i="4"/>
  <c r="CD3" i="4"/>
  <c r="CC3" i="4"/>
  <c r="CB3" i="4"/>
  <c r="CA3" i="4"/>
  <c r="BY3" i="4"/>
  <c r="BX3" i="4"/>
  <c r="BW3" i="4"/>
  <c r="BV3" i="4"/>
  <c r="BU3" i="4"/>
  <c r="BT3" i="4"/>
  <c r="BS3" i="4"/>
  <c r="BR3" i="4"/>
  <c r="BQ3" i="4"/>
  <c r="BP3" i="4"/>
  <c r="BO3" i="4"/>
  <c r="BN3" i="4"/>
  <c r="BM3" i="4"/>
  <c r="BL3" i="4"/>
  <c r="BK3" i="4"/>
  <c r="BJ3" i="4"/>
  <c r="BI3" i="4"/>
  <c r="BH3" i="4"/>
  <c r="BF3" i="4"/>
  <c r="BE3" i="4"/>
  <c r="BD3" i="4"/>
  <c r="BC3" i="4"/>
  <c r="BB3" i="4"/>
  <c r="BA3" i="4"/>
  <c r="AZ3" i="4"/>
  <c r="AY3" i="4"/>
  <c r="AX3" i="4"/>
  <c r="AW3" i="4"/>
  <c r="AV3" i="4"/>
  <c r="AU3" i="4"/>
  <c r="AT3" i="4"/>
  <c r="AS3" i="4"/>
  <c r="AR3" i="4"/>
  <c r="AQ3" i="4"/>
  <c r="AP3" i="4"/>
  <c r="AO3" i="4"/>
  <c r="AM3" i="4"/>
  <c r="AL3" i="4"/>
  <c r="AK3" i="4"/>
  <c r="AJ3" i="4"/>
  <c r="AI3" i="4"/>
  <c r="AH3" i="4"/>
  <c r="AG3" i="4"/>
  <c r="AF3" i="4"/>
  <c r="AE3" i="4"/>
  <c r="AD3" i="4"/>
  <c r="AC3" i="4"/>
  <c r="AB3" i="4"/>
  <c r="AA3" i="4"/>
  <c r="Z3" i="4"/>
  <c r="Y3" i="4"/>
  <c r="X3" i="4"/>
  <c r="W3" i="4"/>
  <c r="V3" i="4"/>
  <c r="U3" i="4"/>
  <c r="T3" i="4"/>
  <c r="S3" i="4"/>
  <c r="R3" i="4"/>
  <c r="Q3" i="4"/>
  <c r="P3" i="4"/>
  <c r="O3" i="4"/>
  <c r="N3" i="4"/>
  <c r="M3" i="4"/>
  <c r="L3" i="4"/>
  <c r="K3" i="4"/>
  <c r="J3" i="4"/>
  <c r="I3" i="4"/>
  <c r="H3" i="4"/>
  <c r="G3" i="4"/>
  <c r="F3" i="4"/>
  <c r="E3" i="4"/>
  <c r="D3" i="4"/>
  <c r="C3" i="4"/>
  <c r="A3" i="4"/>
  <c r="IV2" i="4"/>
  <c r="IU2" i="4"/>
  <c r="IT2" i="4"/>
  <c r="IS2" i="4"/>
  <c r="IR2" i="4"/>
  <c r="IQ2" i="4"/>
  <c r="IP2" i="4"/>
  <c r="IO2" i="4"/>
  <c r="IN2" i="4"/>
  <c r="IM2" i="4"/>
  <c r="IL2" i="4"/>
  <c r="IK2" i="4"/>
  <c r="IJ2" i="4"/>
  <c r="II2" i="4"/>
  <c r="IH2" i="4"/>
  <c r="IG2" i="4"/>
  <c r="IF2" i="4"/>
  <c r="ID2" i="4"/>
  <c r="IC2" i="4"/>
  <c r="IB2" i="4"/>
  <c r="IA2" i="4"/>
  <c r="HZ2" i="4"/>
  <c r="HY2" i="4"/>
  <c r="HX2" i="4"/>
  <c r="HW2" i="4"/>
  <c r="HV2" i="4"/>
  <c r="HU2" i="4"/>
  <c r="HT2" i="4"/>
  <c r="HS2" i="4"/>
  <c r="HR2" i="4"/>
  <c r="HQ2" i="4"/>
  <c r="HP2" i="4"/>
  <c r="HO2" i="4"/>
  <c r="HN2" i="4"/>
  <c r="HM2" i="4"/>
  <c r="HK2" i="4"/>
  <c r="HJ2" i="4"/>
  <c r="HI2" i="4"/>
  <c r="HH2" i="4"/>
  <c r="HG2" i="4"/>
  <c r="HF2" i="4"/>
  <c r="HE2" i="4"/>
  <c r="HD2" i="4"/>
  <c r="HC2" i="4"/>
  <c r="HB2" i="4"/>
  <c r="HA2" i="4"/>
  <c r="GZ2" i="4"/>
  <c r="GY2" i="4"/>
  <c r="GX2" i="4"/>
  <c r="GW2" i="4"/>
  <c r="GV2" i="4"/>
  <c r="GU2" i="4"/>
  <c r="GT2" i="4"/>
  <c r="GR2" i="4"/>
  <c r="GQ2" i="4"/>
  <c r="GP2" i="4"/>
  <c r="GO2" i="4"/>
  <c r="GN2" i="4"/>
  <c r="GM2" i="4"/>
  <c r="GL2" i="4"/>
  <c r="GK2" i="4"/>
  <c r="GJ2" i="4"/>
  <c r="GI2" i="4"/>
  <c r="GH2" i="4"/>
  <c r="GG2" i="4"/>
  <c r="GF2" i="4"/>
  <c r="GE2" i="4"/>
  <c r="GD2" i="4"/>
  <c r="GC2" i="4"/>
  <c r="GB2" i="4"/>
  <c r="GA2" i="4"/>
  <c r="FY2" i="4"/>
  <c r="FX2" i="4"/>
  <c r="FW2" i="4"/>
  <c r="FV2" i="4"/>
  <c r="FU2" i="4"/>
  <c r="FT2" i="4"/>
  <c r="FS2" i="4"/>
  <c r="FR2" i="4"/>
  <c r="FQ2" i="4"/>
  <c r="FP2" i="4"/>
  <c r="FO2" i="4"/>
  <c r="FN2" i="4"/>
  <c r="FM2" i="4"/>
  <c r="FL2" i="4"/>
  <c r="FK2" i="4"/>
  <c r="FJ2" i="4"/>
  <c r="FI2" i="4"/>
  <c r="FH2" i="4"/>
  <c r="FF2" i="4"/>
  <c r="FE2" i="4"/>
  <c r="FD2" i="4"/>
  <c r="FC2" i="4"/>
  <c r="FB2" i="4"/>
  <c r="FA2" i="4"/>
  <c r="EZ2" i="4"/>
  <c r="EY2" i="4"/>
  <c r="EX2" i="4"/>
  <c r="EW2" i="4"/>
  <c r="EV2" i="4"/>
  <c r="EU2" i="4"/>
  <c r="ET2" i="4"/>
  <c r="ES2" i="4"/>
  <c r="ER2" i="4"/>
  <c r="EQ2" i="4"/>
  <c r="EP2" i="4"/>
  <c r="EO2" i="4"/>
  <c r="EM2" i="4"/>
  <c r="EL2" i="4"/>
  <c r="EK2" i="4"/>
  <c r="EJ2" i="4"/>
  <c r="EI2" i="4"/>
  <c r="EH2" i="4"/>
  <c r="EG2" i="4"/>
  <c r="EF2" i="4"/>
  <c r="EE2" i="4"/>
  <c r="ED2" i="4"/>
  <c r="EC2" i="4"/>
  <c r="EB2" i="4"/>
  <c r="EA2" i="4"/>
  <c r="DZ2" i="4"/>
  <c r="DY2" i="4"/>
  <c r="DX2" i="4"/>
  <c r="DW2" i="4"/>
  <c r="DV2" i="4"/>
  <c r="DU2" i="4"/>
  <c r="DT2" i="4"/>
  <c r="DS2" i="4"/>
  <c r="DR2" i="4"/>
  <c r="DQ2" i="4"/>
  <c r="DP2" i="4"/>
  <c r="DO2" i="4"/>
  <c r="DN2" i="4"/>
  <c r="DM2" i="4"/>
  <c r="DL2" i="4"/>
  <c r="DK2" i="4"/>
  <c r="DJ2" i="4"/>
  <c r="DI2" i="4"/>
  <c r="DH2" i="4"/>
  <c r="DG2" i="4"/>
  <c r="DF2" i="4"/>
  <c r="DE2" i="4"/>
  <c r="DD2" i="4"/>
  <c r="DC2" i="4"/>
  <c r="DB2" i="4"/>
  <c r="DA2" i="4"/>
  <c r="CZ2" i="4"/>
  <c r="CY2" i="4"/>
  <c r="CX2" i="4"/>
  <c r="CW2" i="4"/>
  <c r="CV2" i="4"/>
  <c r="CU2" i="4"/>
  <c r="CT2" i="4"/>
  <c r="CS2" i="4"/>
  <c r="CR2" i="4"/>
  <c r="CQ2" i="4"/>
  <c r="CP2" i="4"/>
  <c r="CO2" i="4"/>
  <c r="CN2" i="4"/>
  <c r="CM2" i="4"/>
  <c r="CL2" i="4"/>
  <c r="CK2" i="4"/>
  <c r="CJ2" i="4"/>
  <c r="CH2" i="4"/>
  <c r="CG2" i="4"/>
  <c r="CF2" i="4"/>
  <c r="CE2" i="4"/>
  <c r="CD2" i="4"/>
  <c r="CC2" i="4"/>
  <c r="CB2" i="4"/>
  <c r="CA2" i="4"/>
  <c r="BZ2" i="4"/>
  <c r="BY2" i="4"/>
  <c r="BX2" i="4"/>
  <c r="BW2" i="4"/>
  <c r="BV2" i="4"/>
  <c r="BU2" i="4"/>
  <c r="BT2" i="4"/>
  <c r="BS2" i="4"/>
  <c r="BR2" i="4"/>
  <c r="BQ2" i="4"/>
  <c r="BO2" i="4"/>
  <c r="BN2" i="4"/>
  <c r="BM2" i="4"/>
  <c r="BL2" i="4"/>
  <c r="BK2" i="4"/>
  <c r="BJ2" i="4"/>
  <c r="BI2" i="4"/>
  <c r="BH2" i="4"/>
  <c r="BG2" i="4"/>
  <c r="BF2" i="4"/>
  <c r="BE2" i="4"/>
  <c r="BD2" i="4"/>
  <c r="BC2" i="4"/>
  <c r="BB2" i="4"/>
  <c r="BA2" i="4"/>
  <c r="AZ2" i="4"/>
  <c r="AY2" i="4"/>
  <c r="AX2" i="4"/>
  <c r="AW2" i="4"/>
  <c r="AV2" i="4"/>
  <c r="AU2" i="4"/>
  <c r="AT2" i="4"/>
  <c r="AS2" i="4"/>
  <c r="AR2" i="4"/>
  <c r="AQ2" i="4"/>
  <c r="AP2" i="4"/>
  <c r="AO2" i="4"/>
  <c r="AN2" i="4"/>
  <c r="AM2" i="4"/>
  <c r="AL2" i="4"/>
  <c r="AK2" i="4"/>
  <c r="AJ2" i="4"/>
  <c r="AI2" i="4"/>
  <c r="AH2" i="4"/>
  <c r="AG2" i="4"/>
  <c r="AF2" i="4"/>
  <c r="AE2" i="4"/>
  <c r="AC2" i="4"/>
  <c r="AB2" i="4"/>
  <c r="AA2" i="4"/>
  <c r="Z2" i="4"/>
  <c r="Y2" i="4"/>
  <c r="X2" i="4"/>
  <c r="W2" i="4"/>
  <c r="V2" i="4"/>
  <c r="U2" i="4"/>
  <c r="T2" i="4"/>
  <c r="S2" i="4"/>
  <c r="R2" i="4"/>
  <c r="Q2" i="4"/>
  <c r="P2" i="4"/>
  <c r="O2" i="4"/>
  <c r="N2" i="4"/>
  <c r="M2" i="4"/>
  <c r="L2" i="4"/>
  <c r="J2" i="4"/>
  <c r="I2" i="4"/>
  <c r="H2" i="4"/>
  <c r="G2" i="4"/>
  <c r="F2" i="4"/>
  <c r="E2" i="4"/>
  <c r="D2" i="4"/>
  <c r="C2" i="4"/>
  <c r="B2" i="4"/>
  <c r="A2" i="4"/>
  <c r="IV1" i="4"/>
  <c r="IU1" i="4"/>
  <c r="IT1" i="4"/>
  <c r="IS1" i="4"/>
  <c r="IR1" i="4"/>
  <c r="IQ1" i="4"/>
  <c r="IP1" i="4"/>
  <c r="IO1" i="4"/>
  <c r="IM1" i="4"/>
  <c r="IL1" i="4"/>
  <c r="IK1" i="4"/>
  <c r="IJ1" i="4"/>
  <c r="II1" i="4"/>
  <c r="IH1" i="4"/>
  <c r="IG1" i="4"/>
  <c r="IF1" i="4"/>
  <c r="IE1" i="4"/>
  <c r="ID1" i="4"/>
  <c r="IC1" i="4"/>
  <c r="IB1" i="4"/>
  <c r="IA1" i="4"/>
  <c r="HZ1" i="4"/>
  <c r="HY1" i="4"/>
  <c r="HX1" i="4"/>
  <c r="HW1" i="4"/>
  <c r="HV1" i="4"/>
  <c r="HU1" i="4"/>
  <c r="HT1" i="4"/>
  <c r="HS1" i="4"/>
  <c r="HR1" i="4"/>
  <c r="HQ1" i="4"/>
  <c r="HP1" i="4"/>
  <c r="HO1" i="4"/>
  <c r="HN1" i="4"/>
  <c r="HM1" i="4"/>
  <c r="HL1" i="4"/>
  <c r="HK1" i="4"/>
  <c r="HJ1" i="4"/>
  <c r="HI1" i="4"/>
  <c r="HH1" i="4"/>
  <c r="HG1" i="4"/>
  <c r="HF1" i="4"/>
  <c r="HE1" i="4"/>
  <c r="HD1" i="4"/>
  <c r="HC1" i="4"/>
  <c r="HA1" i="4"/>
  <c r="GZ1" i="4"/>
  <c r="GY1" i="4"/>
  <c r="GX1" i="4"/>
  <c r="GW1" i="4"/>
  <c r="GV1" i="4"/>
  <c r="GU1" i="4"/>
  <c r="GT1" i="4"/>
  <c r="GS1" i="4"/>
  <c r="GR1" i="4"/>
  <c r="GQ1" i="4"/>
  <c r="GP1" i="4"/>
  <c r="GO1" i="4"/>
  <c r="GN1" i="4"/>
  <c r="GM1" i="4"/>
  <c r="GL1" i="4"/>
  <c r="GK1" i="4"/>
  <c r="GJ1" i="4"/>
  <c r="GH1" i="4"/>
  <c r="GG1" i="4"/>
  <c r="GF1" i="4"/>
  <c r="GE1" i="4"/>
  <c r="GD1" i="4"/>
  <c r="GC1" i="4"/>
  <c r="GB1" i="4"/>
  <c r="GA1" i="4"/>
  <c r="FZ1" i="4"/>
  <c r="FY1" i="4"/>
  <c r="FX1" i="4"/>
  <c r="FW1" i="4"/>
  <c r="FV1" i="4"/>
  <c r="FU1" i="4"/>
  <c r="FT1" i="4"/>
  <c r="FS1" i="4"/>
  <c r="FR1" i="4"/>
  <c r="FQ1" i="4"/>
  <c r="FO1" i="4"/>
  <c r="FN1" i="4"/>
  <c r="FM1" i="4"/>
  <c r="FL1" i="4"/>
  <c r="FK1" i="4"/>
  <c r="FJ1" i="4"/>
  <c r="FI1" i="4"/>
  <c r="FH1" i="4"/>
  <c r="FG1" i="4"/>
  <c r="FF1" i="4"/>
  <c r="FE1" i="4"/>
  <c r="FD1" i="4"/>
  <c r="FC1" i="4"/>
  <c r="FB1" i="4"/>
  <c r="FA1" i="4"/>
  <c r="EZ1" i="4"/>
  <c r="EY1" i="4"/>
  <c r="EX1" i="4"/>
  <c r="EV1" i="4"/>
  <c r="EU1" i="4"/>
  <c r="ET1" i="4"/>
  <c r="ES1" i="4"/>
  <c r="ER1" i="4"/>
  <c r="EQ1" i="4"/>
  <c r="EP1" i="4"/>
  <c r="EO1" i="4"/>
  <c r="EN1" i="4"/>
  <c r="EM1" i="4"/>
  <c r="EL1" i="4"/>
  <c r="EK1" i="4"/>
  <c r="EJ1" i="4"/>
  <c r="EI1" i="4"/>
  <c r="EH1" i="4"/>
  <c r="EG1" i="4"/>
  <c r="EF1" i="4"/>
  <c r="EE1" i="4"/>
  <c r="EC1" i="4"/>
  <c r="EB1" i="4"/>
  <c r="EA1" i="4"/>
  <c r="DZ1" i="4"/>
  <c r="DY1" i="4"/>
  <c r="DX1" i="4"/>
  <c r="DW1" i="4"/>
  <c r="DV1" i="4"/>
  <c r="DU1" i="4"/>
  <c r="DT1" i="4"/>
  <c r="DS1" i="4"/>
  <c r="DR1" i="4"/>
  <c r="DQ1" i="4"/>
  <c r="DP1" i="4"/>
  <c r="DO1" i="4"/>
  <c r="DN1" i="4"/>
  <c r="DM1" i="4"/>
  <c r="DL1" i="4"/>
  <c r="DJ1" i="4"/>
  <c r="DI1" i="4"/>
  <c r="DH1" i="4"/>
  <c r="DG1" i="4"/>
  <c r="DF1" i="4"/>
  <c r="DE1" i="4"/>
  <c r="DD1" i="4"/>
  <c r="DC1" i="4"/>
  <c r="DB1" i="4"/>
  <c r="DA1" i="4"/>
  <c r="CZ1" i="4"/>
  <c r="CY1" i="4"/>
  <c r="CX1" i="4"/>
  <c r="CW1" i="4"/>
  <c r="CV1" i="4"/>
  <c r="CU1" i="4"/>
  <c r="CT1" i="4"/>
  <c r="CS1" i="4"/>
  <c r="CQ1" i="4"/>
  <c r="CP1" i="4"/>
  <c r="CO1" i="4"/>
  <c r="CN1" i="4"/>
  <c r="CM1" i="4"/>
  <c r="CL1" i="4"/>
  <c r="CK1" i="4"/>
  <c r="CJ1" i="4"/>
  <c r="CI1" i="4"/>
  <c r="CH1" i="4"/>
  <c r="CG1" i="4"/>
  <c r="CF1" i="4"/>
  <c r="CE1" i="4"/>
  <c r="CD1" i="4"/>
  <c r="CC1" i="4"/>
  <c r="CB1" i="4"/>
  <c r="CA1" i="4"/>
  <c r="BZ1" i="4"/>
  <c r="BX1" i="4"/>
  <c r="BW1" i="4"/>
  <c r="BV1" i="4"/>
  <c r="BU1" i="4"/>
  <c r="BT1" i="4"/>
  <c r="BS1" i="4"/>
  <c r="BR1" i="4"/>
  <c r="BQ1" i="4"/>
  <c r="BP1" i="4"/>
  <c r="BO1" i="4"/>
  <c r="BN1" i="4"/>
  <c r="BM1" i="4"/>
  <c r="BL1" i="4"/>
  <c r="BK1" i="4"/>
  <c r="BJ1" i="4"/>
  <c r="BI1" i="4"/>
  <c r="BH1" i="4"/>
  <c r="BG1" i="4"/>
  <c r="BE1" i="4"/>
  <c r="BD1" i="4"/>
  <c r="BC1" i="4"/>
  <c r="BB1" i="4"/>
  <c r="BA1" i="4"/>
  <c r="AZ1" i="4"/>
  <c r="AY1" i="4"/>
  <c r="AX1" i="4"/>
  <c r="AW1" i="4"/>
  <c r="AV1" i="4"/>
  <c r="AU1" i="4"/>
  <c r="AT1" i="4"/>
  <c r="AS1" i="4"/>
  <c r="AR1" i="4"/>
  <c r="AQ1" i="4"/>
  <c r="AP1" i="4"/>
  <c r="AO1" i="4"/>
  <c r="AN1" i="4"/>
  <c r="AL1" i="4"/>
  <c r="AK1" i="4"/>
  <c r="AJ1" i="4"/>
  <c r="AI1" i="4"/>
  <c r="AH1" i="4"/>
  <c r="AG1" i="4"/>
  <c r="AF1" i="4"/>
  <c r="AE1" i="4"/>
  <c r="AD1" i="4"/>
  <c r="AC1" i="4"/>
  <c r="AB1" i="4"/>
  <c r="AA1" i="4"/>
  <c r="Z1" i="4"/>
  <c r="Y1" i="4"/>
  <c r="X1" i="4"/>
  <c r="W1" i="4"/>
  <c r="V1" i="4"/>
  <c r="U1" i="4"/>
  <c r="S1" i="4"/>
  <c r="R1" i="4"/>
  <c r="Q1" i="4"/>
  <c r="P1" i="4"/>
  <c r="O1" i="4"/>
  <c r="N1" i="4"/>
  <c r="M1" i="4"/>
  <c r="L1" i="4"/>
  <c r="K1" i="4"/>
  <c r="J1" i="4"/>
  <c r="I1" i="4"/>
  <c r="H1" i="4"/>
  <c r="G1" i="4"/>
  <c r="F1" i="4"/>
  <c r="E1" i="4"/>
  <c r="D1" i="4"/>
  <c r="C1" i="4"/>
  <c r="B1" i="4"/>
</calcChain>
</file>

<file path=xl/comments1.xml><?xml version="1.0" encoding="utf-8"?>
<comments xmlns="http://schemas.openxmlformats.org/spreadsheetml/2006/main">
  <authors>
    <author>chuck</author>
  </authors>
  <commentList>
    <comment ref="A28" authorId="0" shapeId="0">
      <text>
        <r>
          <rPr>
            <b/>
            <sz val="9"/>
            <color indexed="81"/>
            <rFont val="Tahoma"/>
            <family val="2"/>
          </rPr>
          <t>chuck:</t>
        </r>
        <r>
          <rPr>
            <sz val="9"/>
            <color indexed="81"/>
            <rFont val="Tahoma"/>
            <family val="2"/>
          </rPr>
          <t xml:space="preserve">
regatta 14-15 Sep
18 races completed in 2 days
</t>
        </r>
      </text>
    </comment>
  </commentList>
</comments>
</file>

<file path=xl/comments2.xml><?xml version="1.0" encoding="utf-8"?>
<comments xmlns="http://schemas.openxmlformats.org/spreadsheetml/2006/main">
  <authors>
    <author>chuck</author>
  </authors>
  <commentList>
    <comment ref="D59" authorId="0" shapeId="0">
      <text>
        <r>
          <rPr>
            <b/>
            <sz val="9"/>
            <color indexed="81"/>
            <rFont val="Tahoma"/>
            <family val="2"/>
          </rPr>
          <t>chuck:</t>
        </r>
        <r>
          <rPr>
            <sz val="9"/>
            <color indexed="81"/>
            <rFont val="Tahoma"/>
            <family val="2"/>
          </rPr>
          <t xml:space="preserve">
regattas 14-15 Sep
9 races per day complete</t>
        </r>
      </text>
    </comment>
  </commentList>
</comments>
</file>

<file path=xl/sharedStrings.xml><?xml version="1.0" encoding="utf-8"?>
<sst xmlns="http://schemas.openxmlformats.org/spreadsheetml/2006/main" count="1903" uniqueCount="899">
  <si>
    <t>Race</t>
  </si>
  <si>
    <t>Name</t>
  </si>
  <si>
    <t>Role</t>
  </si>
  <si>
    <t>Courses</t>
  </si>
  <si>
    <t>Comment</t>
  </si>
  <si>
    <t>Kesson</t>
  </si>
  <si>
    <t>Riggs</t>
  </si>
  <si>
    <t>Smith</t>
  </si>
  <si>
    <t>Matton</t>
  </si>
  <si>
    <t>Oppel</t>
  </si>
  <si>
    <t>Hayes</t>
  </si>
  <si>
    <t>Northrup</t>
  </si>
  <si>
    <t>Swabbie</t>
  </si>
  <si>
    <t>kesson</t>
  </si>
  <si>
    <t>PRO</t>
  </si>
  <si>
    <t>northrup</t>
  </si>
  <si>
    <t>abandon</t>
  </si>
  <si>
    <t>y</t>
  </si>
  <si>
    <t>Summer 1</t>
  </si>
  <si>
    <t>connelly #14 &amp; viloudaki</t>
  </si>
  <si>
    <t>Summer 2</t>
  </si>
  <si>
    <t>viloudaki #17</t>
  </si>
  <si>
    <t>P10[3]</t>
  </si>
  <si>
    <t>complete</t>
  </si>
  <si>
    <t>Summer 3</t>
  </si>
  <si>
    <t>MATTON</t>
  </si>
  <si>
    <t>lynch #16</t>
  </si>
  <si>
    <t>R2</t>
  </si>
  <si>
    <t>N</t>
  </si>
  <si>
    <t>Summer 4</t>
  </si>
  <si>
    <t>Hayes #19</t>
  </si>
  <si>
    <t>R6</t>
  </si>
  <si>
    <t>Summer 5</t>
  </si>
  <si>
    <t>smith</t>
  </si>
  <si>
    <t>Gump</t>
  </si>
  <si>
    <t>O1[2]</t>
  </si>
  <si>
    <t>Summer 6</t>
  </si>
  <si>
    <t>Philips</t>
  </si>
  <si>
    <t>P1</t>
  </si>
  <si>
    <t>Summer 7</t>
  </si>
  <si>
    <t>RIGGS</t>
  </si>
  <si>
    <t>NONE</t>
  </si>
  <si>
    <t>P2</t>
  </si>
  <si>
    <t>comlete</t>
  </si>
  <si>
    <t>Summer 8</t>
  </si>
  <si>
    <t>Summer 9</t>
  </si>
  <si>
    <t>oppel</t>
  </si>
  <si>
    <t>Summer 10</t>
  </si>
  <si>
    <t>Winslow</t>
  </si>
  <si>
    <t>signal boat</t>
  </si>
  <si>
    <t>eaton</t>
  </si>
  <si>
    <t>signal boat staff</t>
  </si>
  <si>
    <t>judge</t>
  </si>
  <si>
    <t>?</t>
  </si>
  <si>
    <t>mark boat officer</t>
  </si>
  <si>
    <t>mark boat staff</t>
  </si>
  <si>
    <t>Fall 1</t>
  </si>
  <si>
    <t>riggs</t>
  </si>
  <si>
    <t>Fall 2</t>
  </si>
  <si>
    <t>Fall 3</t>
  </si>
  <si>
    <t>Fall 4</t>
  </si>
  <si>
    <t>Fall 5</t>
  </si>
  <si>
    <t>matton</t>
  </si>
  <si>
    <t>Fall 6</t>
  </si>
  <si>
    <t>Fall 7</t>
  </si>
  <si>
    <t>SORI</t>
  </si>
  <si>
    <t>Fall 8</t>
  </si>
  <si>
    <t>Fall 9</t>
  </si>
  <si>
    <t>NWC-PC</t>
  </si>
  <si>
    <t>scorer</t>
  </si>
  <si>
    <t>hayes</t>
  </si>
  <si>
    <t>Fall 10</t>
  </si>
  <si>
    <t>Volunteer Name</t>
  </si>
  <si>
    <t>Event Name</t>
  </si>
  <si>
    <t>Event Category</t>
  </si>
  <si>
    <t>Event Date</t>
  </si>
  <si>
    <t>Event Role</t>
  </si>
  <si>
    <t>Hours</t>
  </si>
  <si>
    <t>chuck kesson</t>
  </si>
  <si>
    <t>Jan RM-RC mtng</t>
  </si>
  <si>
    <t>meeting</t>
  </si>
  <si>
    <t>chair</t>
  </si>
  <si>
    <t>ron oard</t>
  </si>
  <si>
    <t>participant</t>
  </si>
  <si>
    <t>doug smith</t>
  </si>
  <si>
    <t>wed series</t>
  </si>
  <si>
    <t>ben riggs</t>
  </si>
  <si>
    <t>regatta</t>
  </si>
  <si>
    <t>rick matton</t>
  </si>
  <si>
    <t>tim daly</t>
  </si>
  <si>
    <t>signal staff</t>
  </si>
  <si>
    <t>ginny lautieri</t>
  </si>
  <si>
    <t>Feb RM-RC mtng</t>
  </si>
  <si>
    <t>paul schmidle</t>
  </si>
  <si>
    <t>feb RM-RC mtng</t>
  </si>
  <si>
    <t>tripp alyn</t>
  </si>
  <si>
    <t>sheryle northrup</t>
  </si>
  <si>
    <t>rich oppel</t>
  </si>
  <si>
    <t>summer</t>
  </si>
  <si>
    <t>connelly</t>
  </si>
  <si>
    <t>viloudaki</t>
  </si>
  <si>
    <t>philips</t>
  </si>
  <si>
    <t>lynch</t>
  </si>
  <si>
    <t>none</t>
  </si>
  <si>
    <t>Date</t>
  </si>
  <si>
    <t>Item</t>
  </si>
  <si>
    <t>Quantity</t>
  </si>
  <si>
    <t>Cost</t>
  </si>
  <si>
    <t>Source</t>
  </si>
  <si>
    <t>Invoice</t>
  </si>
  <si>
    <t>Payment</t>
  </si>
  <si>
    <t>Megaphone</t>
  </si>
  <si>
    <t>B&amp;H</t>
  </si>
  <si>
    <t>replacement</t>
  </si>
  <si>
    <t>RRS Book $19.95</t>
  </si>
  <si>
    <t>US Sailing</t>
  </si>
  <si>
    <t>waterproof for tub</t>
  </si>
  <si>
    <t>Whiteboard</t>
  </si>
  <si>
    <t>Wal-mart</t>
  </si>
  <si>
    <t>ss quick clips and Cx</t>
  </si>
  <si>
    <t>One Stop</t>
  </si>
  <si>
    <t>ground tackle</t>
  </si>
  <si>
    <t>AAAAAF/F/QA=</t>
  </si>
  <si>
    <t>#VALUE!:notNumber</t>
  </si>
  <si>
    <t>AAAAAC35n0U=</t>
  </si>
  <si>
    <t>AAAAAC35n1k=</t>
  </si>
  <si>
    <t>AAAAAC35n1o=</t>
  </si>
  <si>
    <t>AAAAAHT/fVA=</t>
  </si>
  <si>
    <t>AAAAAHT/fVI=</t>
  </si>
  <si>
    <t>AAAAAFf/fRA=</t>
  </si>
  <si>
    <t>AAAAAFf/fRE=</t>
  </si>
  <si>
    <t>AAAAAG83xzc=</t>
  </si>
  <si>
    <t>AAAAAFex72E=</t>
  </si>
  <si>
    <t>AAAAAH155wY=</t>
  </si>
  <si>
    <t>Recommended Equipment</t>
  </si>
  <si>
    <t>Location</t>
  </si>
  <si>
    <t>Value</t>
  </si>
  <si>
    <t>air horns, extra air canisters</t>
  </si>
  <si>
    <t>green tub</t>
  </si>
  <si>
    <t>green tub in dock box</t>
  </si>
  <si>
    <t>anemometer, green</t>
  </si>
  <si>
    <t>batteries, spare for  devices</t>
  </si>
  <si>
    <t>AA + AAA zip bag</t>
  </si>
  <si>
    <t>binoculars</t>
  </si>
  <si>
    <t>-</t>
  </si>
  <si>
    <t>available special occasions</t>
  </si>
  <si>
    <t>Boat hook</t>
  </si>
  <si>
    <t>chart(s), NOAA 13223 waterproof</t>
  </si>
  <si>
    <t>notebook</t>
  </si>
  <si>
    <t>notebook in green tub</t>
  </si>
  <si>
    <t>clipboard</t>
  </si>
  <si>
    <t>Compass; hand bearing, blue</t>
  </si>
  <si>
    <t>Coast Guard equipment, required</t>
  </si>
  <si>
    <t>super tide</t>
  </si>
  <si>
    <t>dry-erase markers, black,  with eraser</t>
  </si>
  <si>
    <t>duct tape</t>
  </si>
  <si>
    <t>zip bag</t>
  </si>
  <si>
    <t>emergency contacts, phone and VHF</t>
  </si>
  <si>
    <t>SBRC</t>
  </si>
  <si>
    <t>entry lists, by sail number</t>
  </si>
  <si>
    <t>finish/start pin ground tackle (#12 mushroom w/ 60ft line (nylon)</t>
  </si>
  <si>
    <t>dock box</t>
  </si>
  <si>
    <t>Flag decoder (in RRS)</t>
  </si>
  <si>
    <t>decal on green tub</t>
  </si>
  <si>
    <t>flags: letters &amp; pennants</t>
  </si>
  <si>
    <t>MCS  YOLNA in zip bags</t>
  </si>
  <si>
    <t>flag, class R19</t>
  </si>
  <si>
    <t>Pvc pole 8 ft</t>
  </si>
  <si>
    <t>Flag, class = Shields</t>
  </si>
  <si>
    <t>flag, AP (postpone)</t>
  </si>
  <si>
    <t>Pvc pole</t>
  </si>
  <si>
    <t>flag, Race Committee (blue)</t>
  </si>
  <si>
    <t>Flag, Race Committee (yellow)</t>
  </si>
  <si>
    <t>Pvc Pole</t>
  </si>
  <si>
    <t>Flag, pin (yellow) w/ O/S p buoy</t>
  </si>
  <si>
    <t>flag, Prep</t>
  </si>
  <si>
    <t>flag, starting (orange) line</t>
  </si>
  <si>
    <t>flag, finishing (blue) line</t>
  </si>
  <si>
    <t>flags, recall individual and general</t>
  </si>
  <si>
    <t>Wood dbl ended</t>
  </si>
  <si>
    <t>food, water &amp; soft drinks</t>
  </si>
  <si>
    <t>bring your own</t>
  </si>
  <si>
    <t>Tow line w/ bridle</t>
  </si>
  <si>
    <t>mounted</t>
  </si>
  <si>
    <t>knife</t>
  </si>
  <si>
    <t>loud hailer</t>
  </si>
  <si>
    <t>Notice of Race</t>
  </si>
  <si>
    <t>Ollie Starting Machine with trumpets</t>
  </si>
  <si>
    <t>paper &amp; pencils, mechanical</t>
  </si>
  <si>
    <t>personal flotation devices ("PFDs")</t>
  </si>
  <si>
    <t>PVC holders for poles (larger diameter)</t>
  </si>
  <si>
    <t>4 mounted in ST; 4 spares in dock box</t>
  </si>
  <si>
    <t>RC forms: CHNYC worksheet</t>
  </si>
  <si>
    <t>Race Chart - South Bay (extras)</t>
  </si>
  <si>
    <t>rolled around PVC pipe</t>
  </si>
  <si>
    <t>Sailing Instructions</t>
  </si>
  <si>
    <t>tide tables</t>
  </si>
  <si>
    <t>VHF handheld radios &amp; charger</t>
  </si>
  <si>
    <t>charger &amp; manual in zip bag</t>
  </si>
  <si>
    <t>Voice recorder</t>
  </si>
  <si>
    <t>watches or timer</t>
  </si>
  <si>
    <t>whistle, on a lanyard</t>
  </si>
  <si>
    <t>Looped on Ollie &amp; clipboard</t>
  </si>
  <si>
    <t>white board</t>
  </si>
  <si>
    <t>Zip-lock bags</t>
  </si>
  <si>
    <t>spares</t>
  </si>
  <si>
    <t>5ft inflatable tetra (orange)</t>
  </si>
  <si>
    <t>garage</t>
  </si>
  <si>
    <t>Spare anchors and tackle (2)</t>
  </si>
  <si>
    <t>Ollie spare horn, compressor</t>
  </si>
  <si>
    <t>SRM 15 w/ tackle</t>
  </si>
  <si>
    <t>WNS model 6000 yellow</t>
  </si>
  <si>
    <t>Bema cylinder inflatable mark orange</t>
  </si>
  <si>
    <t>model 40</t>
  </si>
  <si>
    <t>"George" sounding device</t>
  </si>
  <si>
    <t>Skipper</t>
  </si>
  <si>
    <t>$ummer</t>
  </si>
  <si>
    <t>Win$low</t>
  </si>
  <si>
    <t>Fall$</t>
  </si>
  <si>
    <t>Boat Summer</t>
  </si>
  <si>
    <t>Boat Fall</t>
  </si>
  <si>
    <t>McDonald</t>
  </si>
  <si>
    <t>Caldwell</t>
  </si>
  <si>
    <t>Incze</t>
  </si>
  <si>
    <t>Connelly</t>
  </si>
  <si>
    <t>Hanus</t>
  </si>
  <si>
    <t>Schuldheiss</t>
  </si>
  <si>
    <t>CHNYC Form: Declaration of Alternative Penalties</t>
  </si>
  <si>
    <t>Race Committee Use</t>
  </si>
  <si>
    <t>Series/Race Number</t>
  </si>
  <si>
    <t>Date/Time</t>
  </si>
  <si>
    <t>Fleet</t>
  </si>
  <si>
    <t>Sail Number</t>
  </si>
  <si>
    <t>Boat Name</t>
  </si>
  <si>
    <t>Skipper Name</t>
  </si>
  <si>
    <t>Nature of Inquiry</t>
  </si>
  <si>
    <t>Explanation</t>
  </si>
  <si>
    <t>Received by</t>
  </si>
  <si>
    <t>Scorer Action</t>
  </si>
  <si>
    <t>Description of Incident</t>
  </si>
  <si>
    <t>Alternative Penalty Taken</t>
  </si>
  <si>
    <t>Newsom</t>
  </si>
  <si>
    <t>n</t>
  </si>
  <si>
    <t xml:space="preserve">P10 </t>
  </si>
  <si>
    <t xml:space="preserve">Newport Nautical </t>
  </si>
  <si>
    <t>12# mushroom</t>
  </si>
  <si>
    <t>pin anchor replacement</t>
  </si>
  <si>
    <t>anchor line 3/8in thimble and tape</t>
  </si>
  <si>
    <t>gump</t>
  </si>
  <si>
    <t>pin ground tackle replacement</t>
  </si>
  <si>
    <t>P1[2]</t>
  </si>
  <si>
    <t>winslow race committee</t>
  </si>
  <si>
    <t>hauquitz</t>
  </si>
  <si>
    <t>GunzelmanCoupland</t>
  </si>
  <si>
    <t>Lautieri/Schumacher</t>
  </si>
  <si>
    <t>Hayes/Matton</t>
  </si>
  <si>
    <t>DeAcentis/Stefani</t>
  </si>
  <si>
    <t>Moyer/Viloudaki</t>
  </si>
  <si>
    <t>Irwin/Mitchell</t>
  </si>
  <si>
    <t xml:space="preserve">Winslow </t>
  </si>
  <si>
    <t>Marrone</t>
  </si>
  <si>
    <t>Winslow subway</t>
  </si>
  <si>
    <t>Subway</t>
  </si>
  <si>
    <t>Winslow ice</t>
  </si>
  <si>
    <t>MWR</t>
  </si>
  <si>
    <t>winslow</t>
  </si>
  <si>
    <t>Eaton</t>
  </si>
  <si>
    <t>from BillKneller</t>
  </si>
  <si>
    <t>P6</t>
  </si>
  <si>
    <t>fall</t>
  </si>
  <si>
    <t>bmoyer</t>
  </si>
  <si>
    <t>pIncze</t>
  </si>
  <si>
    <t>12 Dphilips</t>
  </si>
  <si>
    <t>18 Bmoyer</t>
  </si>
  <si>
    <t>dphilips</t>
  </si>
  <si>
    <t>O2</t>
  </si>
  <si>
    <t>13p 12p [2]</t>
  </si>
  <si>
    <t>7 son</t>
  </si>
  <si>
    <t>mitchell</t>
  </si>
  <si>
    <t>son</t>
  </si>
  <si>
    <t>8 Bmitchell</t>
  </si>
  <si>
    <t>R1[2]</t>
  </si>
  <si>
    <t>19 THayes</t>
  </si>
  <si>
    <t>15 Schuldheiss</t>
  </si>
  <si>
    <t>P3</t>
  </si>
  <si>
    <t>schuldheiss</t>
  </si>
  <si>
    <t>17 Incze</t>
  </si>
  <si>
    <t>16 Connelly</t>
  </si>
  <si>
    <t>SORI ice for race cmte</t>
  </si>
  <si>
    <t>ice for coolers</t>
  </si>
  <si>
    <t>west marine</t>
  </si>
  <si>
    <t>DeAscentis #5</t>
  </si>
  <si>
    <t>13 Eaton</t>
  </si>
  <si>
    <t>5 DeAscentis</t>
  </si>
  <si>
    <t>Eaton #13</t>
  </si>
  <si>
    <t>orange boxes for Ollie and RC</t>
  </si>
  <si>
    <t>BJ</t>
  </si>
  <si>
    <t>Walmart</t>
  </si>
  <si>
    <t>dry erase markers</t>
  </si>
  <si>
    <t>batteries AAA and C packages</t>
  </si>
  <si>
    <t>cable ties package</t>
  </si>
  <si>
    <t>Alyn</t>
  </si>
  <si>
    <t>12p 13p [2]</t>
  </si>
  <si>
    <t>15p 12p -&gt; S</t>
  </si>
  <si>
    <t>Amazon</t>
  </si>
  <si>
    <t>SRM 15 refirb</t>
  </si>
  <si>
    <t>total race cmite expense 2013</t>
  </si>
  <si>
    <t>safety reflective yellow striping</t>
  </si>
  <si>
    <t>rescheduled</t>
  </si>
  <si>
    <r>
      <t xml:space="preserve">NE Potters Cove, </t>
    </r>
    <r>
      <rPr>
        <strike/>
        <sz val="10"/>
        <color rgb="FF000000"/>
        <rFont val="Arial"/>
        <family val="2"/>
      </rPr>
      <t>120# dor-mor</t>
    </r>
    <r>
      <rPr>
        <sz val="10"/>
        <color rgb="FF000000"/>
        <rFont val="Arial"/>
        <family val="2"/>
      </rPr>
      <t>, 75# mushroom, 40ft chain, 10ft nylon</t>
    </r>
  </si>
  <si>
    <t>Timestamp</t>
  </si>
  <si>
    <t>First Name</t>
  </si>
  <si>
    <t>Last Name</t>
  </si>
  <si>
    <t>Mailing Address</t>
  </si>
  <si>
    <t>Email Address</t>
  </si>
  <si>
    <t>Phone Number</t>
  </si>
  <si>
    <t>Boat Type</t>
  </si>
  <si>
    <t>Boat Sail Number/Name</t>
  </si>
  <si>
    <t>Skipper/Crew</t>
  </si>
  <si>
    <t>Club/Membership Number</t>
  </si>
  <si>
    <t>Series/Regatta</t>
  </si>
  <si>
    <t>Checkbox</t>
  </si>
  <si>
    <t>chuck</t>
  </si>
  <si>
    <t>3 cypress st newport ri 02840</t>
  </si>
  <si>
    <t>chuck.kesson@gmail.ccom</t>
  </si>
  <si>
    <t>401 324-9324</t>
  </si>
  <si>
    <t>26' MWB</t>
  </si>
  <si>
    <t>Yoyo</t>
  </si>
  <si>
    <t>Co-skipper</t>
  </si>
  <si>
    <t>testing</t>
  </si>
  <si>
    <t>Acknowledged</t>
  </si>
  <si>
    <t>chuck.kesson@gmail.com</t>
  </si>
  <si>
    <t>mwb</t>
  </si>
  <si>
    <t>yoyo</t>
  </si>
  <si>
    <t>Virginia</t>
  </si>
  <si>
    <t>Lautieri</t>
  </si>
  <si>
    <t>13 Weatherly Ave</t>
  </si>
  <si>
    <t>Lauierig@aol.com</t>
  </si>
  <si>
    <t>401-662-8100</t>
  </si>
  <si>
    <t>Rhodes 19</t>
  </si>
  <si>
    <t>Would like boat #13 if possible.</t>
  </si>
  <si>
    <t>JEFFREY</t>
  </si>
  <si>
    <t>STEFANI</t>
  </si>
  <si>
    <t>1 MILL ST #1502, TIVERTON RI 02878</t>
  </si>
  <si>
    <t>JEFFREY.STEFANI@DSCA.MIL</t>
  </si>
  <si>
    <t>RHODES</t>
  </si>
  <si>
    <t>We have numbers? #3560</t>
  </si>
  <si>
    <t>Donna</t>
  </si>
  <si>
    <t>DeAscentis</t>
  </si>
  <si>
    <t>129 Carroll Ave Newport, RI 02840</t>
  </si>
  <si>
    <t>dmd2037@verizon.net</t>
  </si>
  <si>
    <t>401-450-2704</t>
  </si>
  <si>
    <t>Rhodes</t>
  </si>
  <si>
    <t>Steven</t>
  </si>
  <si>
    <t>17 Berkeley Ave Newport, RI 02840</t>
  </si>
  <si>
    <t>steven.caldwell@cox.net</t>
  </si>
  <si>
    <t>Linda</t>
  </si>
  <si>
    <t>Barbour</t>
  </si>
  <si>
    <t>lbarbour329@hotmail.com</t>
  </si>
  <si>
    <t>401 286-6927</t>
  </si>
  <si>
    <t>Crew</t>
  </si>
  <si>
    <t>Michael</t>
  </si>
  <si>
    <t>113 Highland Ave, N.Dartmouth, MA 02747</t>
  </si>
  <si>
    <t>mcdonaldmj46@hotmail.com</t>
  </si>
  <si>
    <t>508.636.3138</t>
  </si>
  <si>
    <t>13 / Ceres</t>
  </si>
  <si>
    <t>Mark</t>
  </si>
  <si>
    <t>Fuller</t>
  </si>
  <si>
    <t>21 School St. #2</t>
  </si>
  <si>
    <t>mark.e.fuller@gmail.com</t>
  </si>
  <si>
    <t>732-513-7119</t>
  </si>
  <si>
    <t>N/A</t>
  </si>
  <si>
    <t>Debra</t>
  </si>
  <si>
    <t>Huntington</t>
  </si>
  <si>
    <t>51 Lighthouse View Dr., Middletown  RI  02842</t>
  </si>
  <si>
    <t>ddhuntington@yahoo.com</t>
  </si>
  <si>
    <t>401-368-6574</t>
  </si>
  <si>
    <t>13/Ceres</t>
  </si>
  <si>
    <t>????? can't find it anywhere #3515</t>
  </si>
  <si>
    <t>Cheryl</t>
  </si>
  <si>
    <t>Cox</t>
  </si>
  <si>
    <t>112 Locust ave. Portsmouth, RI 02871</t>
  </si>
  <si>
    <t>oakrailsmom@aol.com</t>
  </si>
  <si>
    <t>401-683-6337</t>
  </si>
  <si>
    <t># 13</t>
  </si>
  <si>
    <t>michael</t>
  </si>
  <si>
    <t>85 woodmans trl, wakefield, ri 02879</t>
  </si>
  <si>
    <t>meconnelly@cox.net</t>
  </si>
  <si>
    <t>401-529-9575</t>
  </si>
  <si>
    <t>William</t>
  </si>
  <si>
    <t>will_connelly@cox.net</t>
  </si>
  <si>
    <t>401-529-5007</t>
  </si>
  <si>
    <t>Since crewmember is a minor, this is submitted by his father, Michael Connelly.</t>
  </si>
  <si>
    <t>garrett</t>
  </si>
  <si>
    <t>garrett_connelly@cox.net</t>
  </si>
  <si>
    <t>401-529-7796</t>
  </si>
  <si>
    <t>Viloudaki</t>
  </si>
  <si>
    <t>3 Plymouth Rd, Jamestown, RI  02835</t>
  </si>
  <si>
    <t>scottvil47@aol.com</t>
  </si>
  <si>
    <t>401-486-6277</t>
  </si>
  <si>
    <t>Jeff</t>
  </si>
  <si>
    <t>73 Catherine St Newport, RI 02840</t>
  </si>
  <si>
    <t>jschuldheiss@gmail.com</t>
  </si>
  <si>
    <t>703-447-7770</t>
  </si>
  <si>
    <t>#19</t>
  </si>
  <si>
    <t>RIchard</t>
  </si>
  <si>
    <t>30 Walnut Rd., Barrington, RI 02806</t>
  </si>
  <si>
    <t>philirkcb@verizon.net</t>
  </si>
  <si>
    <t>Hulll # 14</t>
  </si>
  <si>
    <t>Thank You</t>
  </si>
  <si>
    <t>Jane</t>
  </si>
  <si>
    <t>171 S Pierce E Greenwich RI</t>
  </si>
  <si>
    <t>jeaton@gso.uri.edu</t>
  </si>
  <si>
    <t>401 741-0433</t>
  </si>
  <si>
    <t>rhodes</t>
  </si>
  <si>
    <t>vaarious</t>
  </si>
  <si>
    <t>alt crew</t>
  </si>
  <si>
    <t>#3436</t>
  </si>
  <si>
    <t>acknowledged</t>
  </si>
  <si>
    <t>Liebhauser</t>
  </si>
  <si>
    <t>109 Columbia Lane Jamestown, RI 02835</t>
  </si>
  <si>
    <t>theliebos@cox.net</t>
  </si>
  <si>
    <t>401 423-0261</t>
  </si>
  <si>
    <t>rhodes 19</t>
  </si>
  <si>
    <t>Tom</t>
  </si>
  <si>
    <t>Gunzelman</t>
  </si>
  <si>
    <t>30 Mohawk Dr Portsmouth, RI 02871</t>
  </si>
  <si>
    <t>jtgunzelmantwo@cox.net</t>
  </si>
  <si>
    <t>401 847-0468</t>
  </si>
  <si>
    <t>skipper</t>
  </si>
  <si>
    <t>richard</t>
  </si>
  <si>
    <t>coupland</t>
  </si>
  <si>
    <t>334 sweet allen farm rd wakefield, ri 02878</t>
  </si>
  <si>
    <t>rlcoupland@msn.com</t>
  </si>
  <si>
    <t>401 595-1175</t>
  </si>
  <si>
    <t>??073002 #3491</t>
  </si>
  <si>
    <t>anne</t>
  </si>
  <si>
    <t>mccarver</t>
  </si>
  <si>
    <t>127 rhode island ave newport ri 02840</t>
  </si>
  <si>
    <t>longlars@aol.com</t>
  </si>
  <si>
    <t>401 225-5891</t>
  </si>
  <si>
    <t>crew</t>
  </si>
  <si>
    <t>na</t>
  </si>
  <si>
    <t>william</t>
  </si>
  <si>
    <t>sanchez</t>
  </si>
  <si>
    <t>12 rose hill dr johnston, ri 02919</t>
  </si>
  <si>
    <t>willsanchez@verizon.net</t>
  </si>
  <si>
    <t>401 499-6835</t>
  </si>
  <si>
    <t>elizabeth</t>
  </si>
  <si>
    <t>chagnon</t>
  </si>
  <si>
    <t>234 leander ave portsmouth ri 02871</t>
  </si>
  <si>
    <t>chagnons@cox.net</t>
  </si>
  <si>
    <t>401 683-4281</t>
  </si>
  <si>
    <t>brenda</t>
  </si>
  <si>
    <t>moyer</t>
  </si>
  <si>
    <t>69 bramblewood ln</t>
  </si>
  <si>
    <t>rimoyers@cox.net</t>
  </si>
  <si>
    <t>401 782-2691</t>
  </si>
  <si>
    <t>seth</t>
  </si>
  <si>
    <t>co-skipper</t>
  </si>
  <si>
    <t>carol</t>
  </si>
  <si>
    <t>ovios</t>
  </si>
  <si>
    <t>H training station road</t>
  </si>
  <si>
    <t>covios@aol.com</t>
  </si>
  <si>
    <t>401 324-9755</t>
  </si>
  <si>
    <t>daven</t>
  </si>
  <si>
    <t>amin</t>
  </si>
  <si>
    <t>8 kay sy apr 5 newport ro 02840</t>
  </si>
  <si>
    <t>daven.amin@navy.mil</t>
  </si>
  <si>
    <t>518 821-7947</t>
  </si>
  <si>
    <t>RHODES 19</t>
  </si>
  <si>
    <t>110830B</t>
  </si>
  <si>
    <t>elaine</t>
  </si>
  <si>
    <t>85 Woodmans Trl, Wakefield RI 02879</t>
  </si>
  <si>
    <t>stephen</t>
  </si>
  <si>
    <t>deltatto</t>
  </si>
  <si>
    <t>17 intrepid jamestown ri 02835</t>
  </si>
  <si>
    <t>silverliningtech@gmail.com</t>
  </si>
  <si>
    <t>401 423-3454</t>
  </si>
  <si>
    <t>matthew</t>
  </si>
  <si>
    <t>mdovis@hotmail.com</t>
  </si>
  <si>
    <t>401 324-9777</t>
  </si>
  <si>
    <t>Matthew</t>
  </si>
  <si>
    <t>Ovios</t>
  </si>
  <si>
    <t>H Training Station Rd, Newport, RI 02840</t>
  </si>
  <si>
    <t>MDOvios@hotmail.com</t>
  </si>
  <si>
    <t>CHNYC</t>
  </si>
  <si>
    <t>Ronald</t>
  </si>
  <si>
    <t>Oard</t>
  </si>
  <si>
    <t>121 Lighthouse View Dr, Middletown, RI 02842</t>
  </si>
  <si>
    <t>ronoard@cox.net</t>
  </si>
  <si>
    <t>847-9929</t>
  </si>
  <si>
    <t>Shields</t>
  </si>
  <si>
    <t>15/Icea</t>
  </si>
  <si>
    <t>CHNYC/2511</t>
  </si>
  <si>
    <t>Jake</t>
  </si>
  <si>
    <t>Hossfeld</t>
  </si>
  <si>
    <t>11 Narragansett Ave Newport, RI 02840</t>
  </si>
  <si>
    <t>jake.hossfeld@gmail.com</t>
  </si>
  <si>
    <t>760 470-7000</t>
  </si>
  <si>
    <t>Robin</t>
  </si>
  <si>
    <t>Monk</t>
  </si>
  <si>
    <t>229 Rt 87 Columbia, CT 06237</t>
  </si>
  <si>
    <t>rmonk@travelers.com</t>
  </si>
  <si>
    <t>860 228 3092</t>
  </si>
  <si>
    <t>Ida Lewis Yacht  Club</t>
  </si>
  <si>
    <t>dirk</t>
  </si>
  <si>
    <t>johnson</t>
  </si>
  <si>
    <t>68 riverview ave</t>
  </si>
  <si>
    <t>dirkjohnson@cox.net</t>
  </si>
  <si>
    <t>401 965-9189</t>
  </si>
  <si>
    <t>shields</t>
  </si>
  <si>
    <t>181 Helen</t>
  </si>
  <si>
    <t>ILYC</t>
  </si>
  <si>
    <t>Arsenault</t>
  </si>
  <si>
    <t>685 Aquidneck Ave Middletown RI 02842</t>
  </si>
  <si>
    <t>mfa543@gmail.com</t>
  </si>
  <si>
    <t>401-219-2693</t>
  </si>
  <si>
    <t>Pearson</t>
  </si>
  <si>
    <t>Jay</t>
  </si>
  <si>
    <t>Gowell</t>
  </si>
  <si>
    <t>35 Watch Hill, East Greenwich, RI 02818</t>
  </si>
  <si>
    <t>jay.gowell@gmail.com</t>
  </si>
  <si>
    <t>401-225-4728</t>
  </si>
  <si>
    <t>232/Fox</t>
  </si>
  <si>
    <t>Fleet 9</t>
  </si>
  <si>
    <t>carmen</t>
  </si>
  <si>
    <t>bois</t>
  </si>
  <si>
    <t>297 walsmey lane saunderstown ri 02874</t>
  </si>
  <si>
    <t>boiscarmen@yahoo.com</t>
  </si>
  <si>
    <t>401 741-9219</t>
  </si>
  <si>
    <t>ERIC</t>
  </si>
  <si>
    <t>IRWIN</t>
  </si>
  <si>
    <t>136 LEDGELAND DR</t>
  </si>
  <si>
    <t>IRWINER@COMCAST.NET</t>
  </si>
  <si>
    <t>RHODES #18</t>
  </si>
  <si>
    <t>MaryBeth</t>
  </si>
  <si>
    <t>Marshall</t>
  </si>
  <si>
    <t>40 S. Arnolda Rd., Charlestown, RI 02813</t>
  </si>
  <si>
    <t>risailorgurl@verizon.net</t>
  </si>
  <si>
    <t>401-218-2793</t>
  </si>
  <si>
    <t>Rhodes/Sheilds</t>
  </si>
  <si>
    <t>Maurice</t>
  </si>
  <si>
    <t>Lynch</t>
  </si>
  <si>
    <t>479 Church Avenue</t>
  </si>
  <si>
    <t>mmlynch1949@gmail.com</t>
  </si>
  <si>
    <t>401-527-9369</t>
  </si>
  <si>
    <t>don't know member #</t>
  </si>
  <si>
    <t>power</t>
  </si>
  <si>
    <t>test</t>
  </si>
  <si>
    <t>Ann</t>
  </si>
  <si>
    <t>Sweeny</t>
  </si>
  <si>
    <t>29 Champli Street, Newport, RI 02840</t>
  </si>
  <si>
    <t>annsweeny@gmail.com</t>
  </si>
  <si>
    <t>401-862-0083</t>
  </si>
  <si>
    <t>not a member of CHNYC</t>
  </si>
  <si>
    <t>Deborah</t>
  </si>
  <si>
    <t>dsmith1880@verizon.net</t>
  </si>
  <si>
    <t>401-741-7556</t>
  </si>
  <si>
    <t>Rhode 19</t>
  </si>
  <si>
    <t>I will also be spot crewing on sheilds as well.</t>
  </si>
  <si>
    <t>John</t>
  </si>
  <si>
    <t>47 Fourth St</t>
  </si>
  <si>
    <t>john.hanus@yahoo.com</t>
  </si>
  <si>
    <t>401-267-8892</t>
  </si>
  <si>
    <t>3 Plymouth rd, Jamestown, RI  02835</t>
  </si>
  <si>
    <t>129 Carroll Ave, Newport, RI 02840</t>
  </si>
  <si>
    <t>Stefani</t>
  </si>
  <si>
    <t>Mill Street, Tiverton, RI</t>
  </si>
  <si>
    <t>Jeffrey.STEFANI@DSCA.MIL</t>
  </si>
  <si>
    <t>703 989-4597</t>
  </si>
  <si>
    <t>Edward</t>
  </si>
  <si>
    <t>41 Freedom Trail Drive, Portsmouth, RI</t>
  </si>
  <si>
    <t>tedhayes01@cox.net</t>
  </si>
  <si>
    <t>401 225-8636</t>
  </si>
  <si>
    <t>Richard</t>
  </si>
  <si>
    <t>11Kinnicott Ave. Warren, RI 02885</t>
  </si>
  <si>
    <t>rrickmatton@aol.com</t>
  </si>
  <si>
    <t>401 261-0755</t>
  </si>
  <si>
    <t>112 Locust Ave, Portsmouth, RI</t>
  </si>
  <si>
    <t>401 835-5181</t>
  </si>
  <si>
    <t>Castro</t>
  </si>
  <si>
    <t>German</t>
  </si>
  <si>
    <t>163 Jones St, Middletown</t>
  </si>
  <si>
    <t>gdcastro18@hotmail</t>
  </si>
  <si>
    <t>240 481-2279</t>
  </si>
  <si>
    <t>171 South Pierce Rd</t>
  </si>
  <si>
    <t>jane.eaton6@gmail.com</t>
  </si>
  <si>
    <t>401-741-0433</t>
  </si>
  <si>
    <t>various</t>
  </si>
  <si>
    <t>I have accepted alternate crew status for several Rhodes skippers</t>
  </si>
  <si>
    <t>113 Highland Ave</t>
  </si>
  <si>
    <t>1/Phoenix</t>
  </si>
  <si>
    <t>51 Lighthouse View Dr.   Middletown, RI  02842</t>
  </si>
  <si>
    <t>Gordon</t>
  </si>
  <si>
    <t>Willard</t>
  </si>
  <si>
    <t>gordon.willard@gmail.com</t>
  </si>
  <si>
    <t>617-981-0175</t>
  </si>
  <si>
    <t>#15 (Hanus is Skipper)</t>
  </si>
  <si>
    <t>Just joining today</t>
  </si>
  <si>
    <t>Brenda</t>
  </si>
  <si>
    <t>Mitchell</t>
  </si>
  <si>
    <t>526 Green Hill Beach Rd Wakefield RI 02879</t>
  </si>
  <si>
    <t>brendamitchell@cox.net</t>
  </si>
  <si>
    <t>401-742-2128</t>
  </si>
  <si>
    <t>18 / Irwin</t>
  </si>
  <si>
    <t>sorry, don't know</t>
  </si>
  <si>
    <t>I'll be skippering 3-4 f races</t>
  </si>
  <si>
    <t>30 Mohawk Dr Portsmouth RI</t>
  </si>
  <si>
    <t>chnyc</t>
  </si>
  <si>
    <t>335 Sweet Allen Farm Rd Wakefield RI</t>
  </si>
  <si>
    <t>4041 595-1175</t>
  </si>
  <si>
    <t>Anne</t>
  </si>
  <si>
    <t>127 Rhoder Island Ave Newport RI</t>
  </si>
  <si>
    <t>anne.mccarver@wfadvisors.com</t>
  </si>
  <si>
    <t>Walter</t>
  </si>
  <si>
    <t>Sepe</t>
  </si>
  <si>
    <t>windstorm Dr Portsmouth, RI</t>
  </si>
  <si>
    <t>wsepe@cox.net</t>
  </si>
  <si>
    <t>401 683-2461</t>
  </si>
  <si>
    <t>ginny</t>
  </si>
  <si>
    <t>13 weatherly ave Newport RI</t>
  </si>
  <si>
    <t>lauierig@aol.com</t>
  </si>
  <si>
    <t>401 662-8100</t>
  </si>
  <si>
    <t>christian</t>
  </si>
  <si>
    <t>schumacher</t>
  </si>
  <si>
    <t>12 mann ave newport ri</t>
  </si>
  <si>
    <t>christian.schumacher@gmail.com</t>
  </si>
  <si>
    <t>619 300-1452</t>
  </si>
  <si>
    <t>tim</t>
  </si>
  <si>
    <t>daly</t>
  </si>
  <si>
    <t>13 weatherly ave newport ri</t>
  </si>
  <si>
    <t>tdaly43@aol.com</t>
  </si>
  <si>
    <t>401 619-2632</t>
  </si>
  <si>
    <t>david</t>
  </si>
  <si>
    <t>dill</t>
  </si>
  <si>
    <t>141 busher drive middletown, ri</t>
  </si>
  <si>
    <t>daviddill41@aol.com</t>
  </si>
  <si>
    <t>401 741-1240</t>
  </si>
  <si>
    <t>5 and various</t>
  </si>
  <si>
    <t>mark</t>
  </si>
  <si>
    <t>fuller</t>
  </si>
  <si>
    <t>21 school st #2 newport, ri</t>
  </si>
  <si>
    <t>732 513-7119</t>
  </si>
  <si>
    <t>rhodes &amp; shelds</t>
  </si>
  <si>
    <t>crew and shields tbd</t>
  </si>
  <si>
    <t>30 walnut rdbarrington, RI</t>
  </si>
  <si>
    <t>401 374-1221</t>
  </si>
  <si>
    <t>freeman</t>
  </si>
  <si>
    <t>2208 martlet lane 23456</t>
  </si>
  <si>
    <t>david.b.freeman@navy.mil</t>
  </si>
  <si>
    <t>752 831-8752</t>
  </si>
  <si>
    <t>FJ</t>
  </si>
  <si>
    <t>Ritt</t>
  </si>
  <si>
    <t>3 Champlin terrace Middletown RI</t>
  </si>
  <si>
    <t>fj.ritt@gmail.com</t>
  </si>
  <si>
    <t>Newport yacht club</t>
  </si>
  <si>
    <t>69 bramblewood ln wakefield ri 02879</t>
  </si>
  <si>
    <t>401.782.2691</t>
  </si>
  <si>
    <t>moeyr</t>
  </si>
  <si>
    <t>rachel</t>
  </si>
  <si>
    <t>scott</t>
  </si>
  <si>
    <t>karn</t>
  </si>
  <si>
    <t>23 laurel hill road east greenwich ri 02818</t>
  </si>
  <si>
    <t>scott.karn@us.didata.com</t>
  </si>
  <si>
    <t>508 667 5764</t>
  </si>
  <si>
    <t>martha</t>
  </si>
  <si>
    <t>boivin</t>
  </si>
  <si>
    <t>40 s arn?da rd charleston ri 03218</t>
  </si>
  <si>
    <t>mtboivin@yahoo.com</t>
  </si>
  <si>
    <t>401 954-9141</t>
  </si>
  <si>
    <t>rhodes &amp; shields</t>
  </si>
  <si>
    <t>Brian</t>
  </si>
  <si>
    <t>Holden</t>
  </si>
  <si>
    <t>181 Lantern Lane East, North Kingstown, RI, 02852</t>
  </si>
  <si>
    <t>brian.t.holden@gmail.com</t>
  </si>
  <si>
    <t>(203) 241-5449</t>
  </si>
  <si>
    <t>None</t>
  </si>
  <si>
    <t>erik</t>
  </si>
  <si>
    <t>edwards</t>
  </si>
  <si>
    <t>6 renfrew park middletown ri 02842</t>
  </si>
  <si>
    <t>erikb690@gmail.com</t>
  </si>
  <si>
    <t>412 327-8891</t>
  </si>
  <si>
    <t>Ron</t>
  </si>
  <si>
    <t>121 Lighthouse View Dr</t>
  </si>
  <si>
    <t>Wendy</t>
  </si>
  <si>
    <t>Lotz</t>
  </si>
  <si>
    <t>129 Harrison Ave</t>
  </si>
  <si>
    <t>wlotz@indyyachts.com</t>
  </si>
  <si>
    <t>203-253-5827</t>
  </si>
  <si>
    <t>Ida Lewis</t>
  </si>
  <si>
    <t>Phil</t>
  </si>
  <si>
    <t>plotz@indyyachts.com</t>
  </si>
  <si>
    <t>203-570-2865</t>
  </si>
  <si>
    <t>23 Weathervane Drive, Leominster, MA 01453</t>
  </si>
  <si>
    <t>marronemjm@gmail.com</t>
  </si>
  <si>
    <t>978-660-4998</t>
  </si>
  <si>
    <t>TBD</t>
  </si>
  <si>
    <t>marronecah@gmail.com</t>
  </si>
  <si>
    <t>857-205-7758</t>
  </si>
  <si>
    <t>Valerie</t>
  </si>
  <si>
    <t>Riege</t>
  </si>
  <si>
    <t>17 Long Meadow Ave</t>
  </si>
  <si>
    <t>vriege@aol.com</t>
  </si>
  <si>
    <t>401-595-1295</t>
  </si>
  <si>
    <t>Wyatt</t>
  </si>
  <si>
    <t>Reynolds</t>
  </si>
  <si>
    <t>16 Mann Ave #3</t>
  </si>
  <si>
    <t>wreynlds11@yahoo.com</t>
  </si>
  <si>
    <t>901-606-9082</t>
  </si>
  <si>
    <t>163/Ann</t>
  </si>
  <si>
    <t>Navy Marina</t>
  </si>
  <si>
    <t>George</t>
  </si>
  <si>
    <t>Anderson</t>
  </si>
  <si>
    <t>499 Aquidneck Ave Apt B, Middletown, RI 02842</t>
  </si>
  <si>
    <t>georgedanderson@gmail.com</t>
  </si>
  <si>
    <t>138/Envy</t>
  </si>
  <si>
    <t>Joel</t>
  </si>
  <si>
    <t>Hanneman</t>
  </si>
  <si>
    <t>PO BOX 783</t>
  </si>
  <si>
    <t>joel.hanneman@gmail.com</t>
  </si>
  <si>
    <t>138 Envy</t>
  </si>
  <si>
    <t>NYYC H199</t>
  </si>
  <si>
    <t>Libbi</t>
  </si>
  <si>
    <t>Dust</t>
  </si>
  <si>
    <t>126 Houston Ave, Newport RI, 02840</t>
  </si>
  <si>
    <t>dusteliz@msu.edu</t>
  </si>
  <si>
    <t>734-775-9780</t>
  </si>
  <si>
    <t>Sheilds</t>
  </si>
  <si>
    <t>Charles</t>
  </si>
  <si>
    <t>Shoemaker</t>
  </si>
  <si>
    <t>96 Washington</t>
  </si>
  <si>
    <t>drshoe@verizon.net</t>
  </si>
  <si>
    <t>401 846 3388</t>
  </si>
  <si>
    <t>Newport Yc</t>
  </si>
  <si>
    <t>Serth</t>
  </si>
  <si>
    <t>17 Curry Ave, Newport RI 02840</t>
  </si>
  <si>
    <t>billserth@yahoo.com</t>
  </si>
  <si>
    <t>(401)846-2304</t>
  </si>
  <si>
    <t>245/Hawk</t>
  </si>
  <si>
    <t>Newport Yacht Club</t>
  </si>
  <si>
    <t>Tupper</t>
  </si>
  <si>
    <t>29 willow street, newport RI</t>
  </si>
  <si>
    <t>Mtupper@winsor.exu</t>
  </si>
  <si>
    <t>?/Hawk</t>
  </si>
  <si>
    <t>Any questions please ask dr. Shoemaker thank you.</t>
  </si>
  <si>
    <t>29 willow street newport ri</t>
  </si>
  <si>
    <t>Mtupper@winsor.edu</t>
  </si>
  <si>
    <t>?/hawk</t>
  </si>
  <si>
    <t>?/?</t>
  </si>
  <si>
    <t>Please contact dr. Charlie shoemaker with anky questions</t>
  </si>
  <si>
    <t>Trish</t>
  </si>
  <si>
    <t>Walcott</t>
  </si>
  <si>
    <t>17 Loyola Terrace, Newport, RI  02840</t>
  </si>
  <si>
    <t>trishwalcott@gmail.com</t>
  </si>
  <si>
    <t>401-481-8011</t>
  </si>
  <si>
    <t>Shield</t>
  </si>
  <si>
    <t>sailing with Charlie Shoemaker</t>
  </si>
  <si>
    <t>bush-brown</t>
  </si>
  <si>
    <t>3 cherry creek rd, newport, ri 02840</t>
  </si>
  <si>
    <t>dbush-brown@long-wharf.com</t>
  </si>
  <si>
    <t>617-283-0555</t>
  </si>
  <si>
    <t>David</t>
  </si>
  <si>
    <t>Willis</t>
  </si>
  <si>
    <t>115 Carroll Ave</t>
  </si>
  <si>
    <t>davewillis115@gtmail.com</t>
  </si>
  <si>
    <t>hawk</t>
  </si>
  <si>
    <t>Norman</t>
  </si>
  <si>
    <t>Johnson</t>
  </si>
  <si>
    <t>220 MacFarlane Dr Apt 902</t>
  </si>
  <si>
    <t>plattj@gmail.com</t>
  </si>
  <si>
    <t>401-575-0328</t>
  </si>
  <si>
    <t>121 Mahi</t>
  </si>
  <si>
    <t>THanks for running the event</t>
  </si>
  <si>
    <t>15/ICEA</t>
  </si>
  <si>
    <t>Carol</t>
  </si>
  <si>
    <t>Nancy</t>
  </si>
  <si>
    <t>220 Macfarlane Dr. Delray Beach, Fl 33483</t>
  </si>
  <si>
    <t>nhjus11@gmail.com</t>
  </si>
  <si>
    <t>401-575-0329</t>
  </si>
  <si>
    <t>McCaffrey</t>
  </si>
  <si>
    <t>32 Church St. Newport, RI 02840</t>
  </si>
  <si>
    <t>Narragansettshipwrights@yahoo.com</t>
  </si>
  <si>
    <t>401 225 1367</t>
  </si>
  <si>
    <t>101  RAJAH</t>
  </si>
  <si>
    <t>Roberts</t>
  </si>
  <si>
    <t>49 Division street, Newport, RI, 02840</t>
  </si>
  <si>
    <t>mouletontour@hotmail.com</t>
  </si>
  <si>
    <t>+1 808 673 8115</t>
  </si>
  <si>
    <t>101 Rajah</t>
  </si>
  <si>
    <t>Bucklands Beach Yacht Club, Auckland, NZ</t>
  </si>
  <si>
    <t>Nicola</t>
  </si>
  <si>
    <t>Tait</t>
  </si>
  <si>
    <t>lalatait@hotmail.com</t>
  </si>
  <si>
    <t>bucklands Beach Yacht Club, Auckland, NZ</t>
  </si>
  <si>
    <t>Darren</t>
  </si>
  <si>
    <t>Houston</t>
  </si>
  <si>
    <t>12 annandale RI 02840</t>
  </si>
  <si>
    <t>whitneyhoustonrn@yahoo.com</t>
  </si>
  <si>
    <t>Spencer</t>
  </si>
  <si>
    <t>Bush-Brown</t>
  </si>
  <si>
    <t>14 Isabella st apt 2 Boston ma 02116</t>
  </si>
  <si>
    <t>Spencebushbrown@gmail.com</t>
  </si>
  <si>
    <t>Mahi 121</t>
  </si>
  <si>
    <t>NYYC</t>
  </si>
  <si>
    <t>Gretchen</t>
  </si>
  <si>
    <t>Baum</t>
  </si>
  <si>
    <t>9 Bull Street, Newport, RI 02840</t>
  </si>
  <si>
    <t>gretchenbaum@gmail.com</t>
  </si>
  <si>
    <t>101/Rajah</t>
  </si>
  <si>
    <t>US Sailing/247828C</t>
  </si>
  <si>
    <t>Roger</t>
  </si>
  <si>
    <t>Readwin</t>
  </si>
  <si>
    <t>12 Annandale Terrace, Newport</t>
  </si>
  <si>
    <t>Rogerreadwin@hotmail.com</t>
  </si>
  <si>
    <t>15 Icea</t>
  </si>
  <si>
    <t>Yes</t>
  </si>
  <si>
    <t>Thomas</t>
  </si>
  <si>
    <t>Derecktor</t>
  </si>
  <si>
    <t>902 Wapping Rd, Portsmouth, RI 02871</t>
  </si>
  <si>
    <t>tom.derecktor@gmail.com</t>
  </si>
  <si>
    <t>508-415-7531</t>
  </si>
  <si>
    <t>Ida Lewis wating list</t>
  </si>
  <si>
    <t>Susan</t>
  </si>
  <si>
    <t>Mortgu</t>
  </si>
  <si>
    <t>30 Sixth ST, N. Kingstwon, RI 02852</t>
  </si>
  <si>
    <t>susan.mortgu@zf.com</t>
  </si>
  <si>
    <t>401-525-0946</t>
  </si>
  <si>
    <t>Lemaire</t>
  </si>
  <si>
    <t>1650 W. Main Rd, Middletwon, RI</t>
  </si>
  <si>
    <t>tom@amanc.com</t>
  </si>
  <si>
    <t>781-801-2500</t>
  </si>
  <si>
    <t>NA</t>
  </si>
  <si>
    <t>Gilbert</t>
  </si>
  <si>
    <t>22 summer st newport ri 02840</t>
  </si>
  <si>
    <t>jgilbert2005@gmail.com</t>
  </si>
  <si>
    <t>443 600-0331</t>
  </si>
  <si>
    <t>Jared</t>
  </si>
  <si>
    <t>Behrens</t>
  </si>
  <si>
    <t>6203 Reserve way newport news va 23602</t>
  </si>
  <si>
    <t>jbehrens87@gmail.com</t>
  </si>
  <si>
    <t>305 975-6386</t>
  </si>
  <si>
    <t>401324-9324</t>
  </si>
  <si>
    <t>test for 2014</t>
  </si>
  <si>
    <t>another 100 ft line available in dockbox</t>
  </si>
  <si>
    <t>Tackle in orange HD bucket</t>
  </si>
  <si>
    <t>Pvc pole - flag replaced 2013</t>
  </si>
  <si>
    <t>replaced in 2013</t>
  </si>
  <si>
    <t>case cracked - rebuild in winter 2014</t>
  </si>
  <si>
    <t>Pvc pole 8 ft - new flag 2013</t>
  </si>
  <si>
    <t>temporary replacement 2013</t>
  </si>
  <si>
    <t>Assistant</t>
  </si>
  <si>
    <t>practice</t>
  </si>
  <si>
    <t xml:space="preserve">summer 2 </t>
  </si>
  <si>
    <t>summer 1</t>
  </si>
  <si>
    <t>summer 3</t>
  </si>
  <si>
    <t>summer 4</t>
  </si>
  <si>
    <t>summer 5</t>
  </si>
  <si>
    <t>summer 6</t>
  </si>
  <si>
    <t>summer 7</t>
  </si>
  <si>
    <t>summer 8</t>
  </si>
  <si>
    <t>summer 9</t>
  </si>
  <si>
    <t>summer 10</t>
  </si>
  <si>
    <t>signal</t>
  </si>
  <si>
    <t>fall 1</t>
  </si>
  <si>
    <t>fall 2</t>
  </si>
  <si>
    <t>fall 3</t>
  </si>
  <si>
    <t>fall 4</t>
  </si>
  <si>
    <t>fall 5</t>
  </si>
  <si>
    <t>fall 6</t>
  </si>
  <si>
    <t>fall 7</t>
  </si>
  <si>
    <t>fall 8</t>
  </si>
  <si>
    <t>fall 9</t>
  </si>
  <si>
    <t>fall 10</t>
  </si>
  <si>
    <t>DATE</t>
  </si>
  <si>
    <t>New England Marine and Industrial Supply</t>
  </si>
  <si>
    <t>Hy-flier buoy 3/4in 10ft no reflector</t>
  </si>
  <si>
    <t>Racing Rules of Sailing (rule book) 2013-2016</t>
  </si>
  <si>
    <t>leaks at fill</t>
  </si>
  <si>
    <t>boat anchor, 6ft chain &amp; 200ft line</t>
  </si>
  <si>
    <t>3 flares &amp; fire bottle. Type IV, air horn MWR</t>
  </si>
  <si>
    <t>electrical ties ("zip" ties) package</t>
  </si>
  <si>
    <t>worksheets on/in clipboard</t>
  </si>
  <si>
    <t>starting/finish pin offshore Hy-flier buoy</t>
  </si>
  <si>
    <t>bring your own or get from MWR</t>
  </si>
  <si>
    <t>Gunzelman/Coupland</t>
  </si>
  <si>
    <t>DeAscentis/Stefani</t>
  </si>
  <si>
    <t>waiver</t>
  </si>
  <si>
    <t>129 Carroll Ave Newport RI 02840</t>
  </si>
  <si>
    <t>1 MILL ST APT 1502 TIVERTON RI 02878</t>
  </si>
  <si>
    <t>703-989-4597</t>
  </si>
  <si>
    <t>R19</t>
  </si>
  <si>
    <t>safety ladder - 4 step - folding</t>
  </si>
  <si>
    <t>Npt Nautical</t>
  </si>
  <si>
    <t>consignment - delivered</t>
  </si>
  <si>
    <t>pin replacement delivered 20 Mar</t>
  </si>
  <si>
    <t>hi-viz safety vests</t>
  </si>
  <si>
    <t>JobLot</t>
  </si>
  <si>
    <t>delivered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</si>
</sst>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$&quot;#,##0_);[Red]\(&quot;$&quot;#,##0\)"/>
    <numFmt numFmtId="8" formatCode="&quot;$&quot;#,##0.00_);[Red]\(&quot;$&quot;#,##0.00\)"/>
    <numFmt numFmtId="164" formatCode="&quot;$&quot;#,##0.00"/>
    <numFmt numFmtId="165" formatCode="d\-mmm;@"/>
    <numFmt numFmtId="166" formatCode="m/d/yyyy;@"/>
    <numFmt numFmtId="167" formatCode="&quot;$&quot;#,##0\ ;&quot;$&quot;\(#,##0\)"/>
    <numFmt numFmtId="168" formatCode="d\-mmm\-yy;@"/>
    <numFmt numFmtId="169" formatCode="m/d/yyyy\ h:mm:ss;@"/>
  </numFmts>
  <fonts count="25" x14ac:knownFonts="1">
    <font>
      <sz val="10"/>
      <color rgb="FF000000"/>
      <name val="Arial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FF9900"/>
      <name val="Arial"/>
      <family val="2"/>
    </font>
    <font>
      <sz val="10"/>
      <color rgb="FF000000"/>
      <name val="Arial"/>
      <family val="2"/>
    </font>
    <font>
      <sz val="10"/>
      <color rgb="FFF79646"/>
      <name val="Arial"/>
      <family val="2"/>
    </font>
    <font>
      <sz val="10"/>
      <color rgb="FFFF0000"/>
      <name val="Arial"/>
      <family val="2"/>
    </font>
    <font>
      <sz val="10"/>
      <color rgb="FFCCCCCC"/>
      <name val="Arial"/>
      <family val="2"/>
    </font>
    <font>
      <b/>
      <sz val="10"/>
      <color rgb="FFC00000"/>
      <name val="Arial"/>
      <family val="2"/>
    </font>
    <font>
      <sz val="10"/>
      <color rgb="FFED7D31"/>
      <name val="Arial"/>
      <family val="2"/>
    </font>
    <font>
      <b/>
      <sz val="10"/>
      <color rgb="FF980000"/>
      <name val="Arial"/>
      <family val="2"/>
    </font>
    <font>
      <b/>
      <sz val="11"/>
      <color rgb="FFFA7D00"/>
      <name val="Arial"/>
      <family val="2"/>
    </font>
    <font>
      <b/>
      <sz val="10"/>
      <color rgb="FFF79646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10"/>
      <color rgb="FFC00000"/>
      <name val="Arial"/>
      <family val="2"/>
    </font>
    <font>
      <b/>
      <sz val="10"/>
      <color rgb="FFF79646"/>
      <name val="Arial"/>
      <family val="2"/>
    </font>
    <font>
      <b/>
      <sz val="11"/>
      <color rgb="FFFA7D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trike/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980000"/>
      <name val="Arial"/>
      <family val="2"/>
    </font>
    <font>
      <sz val="10"/>
      <color rgb="FFFFC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598"/>
        <bgColor indexed="64"/>
      </patternFill>
    </fill>
    <fill>
      <patternFill patternType="solid">
        <fgColor rgb="FFFEF2CB"/>
        <bgColor indexed="64"/>
      </patternFill>
    </fill>
    <fill>
      <patternFill patternType="solid">
        <fgColor rgb="FFF2F2F2"/>
      </patternFill>
    </fill>
    <fill>
      <patternFill patternType="solid">
        <fgColor rgb="FFDDDDDD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rgb="FF980000"/>
      </bottom>
      <diagonal/>
    </border>
    <border>
      <left/>
      <right/>
      <top style="thin">
        <color rgb="FF98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8" fillId="7" borderId="14" applyNumberFormat="0" applyAlignment="0" applyProtection="0"/>
  </cellStyleXfs>
  <cellXfs count="186"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0" fillId="0" borderId="7" xfId="0" applyBorder="1" applyAlignment="1">
      <alignment wrapText="1"/>
    </xf>
    <xf numFmtId="0" fontId="0" fillId="0" borderId="0" xfId="0" applyFont="1" applyAlignment="1">
      <alignment wrapText="1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vertical="center"/>
    </xf>
    <xf numFmtId="0" fontId="14" fillId="0" borderId="0" xfId="0" applyFont="1" applyAlignment="1">
      <alignment wrapText="1"/>
    </xf>
    <xf numFmtId="0" fontId="2" fillId="0" borderId="8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6" borderId="8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right" vertical="top" wrapText="1"/>
    </xf>
    <xf numFmtId="0" fontId="4" fillId="0" borderId="8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0" fontId="0" fillId="0" borderId="8" xfId="0" applyFont="1" applyFill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14" fillId="0" borderId="8" xfId="0" applyFont="1" applyBorder="1" applyAlignment="1">
      <alignment horizontal="left" vertical="top" wrapText="1"/>
    </xf>
    <xf numFmtId="0" fontId="4" fillId="0" borderId="6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0" xfId="0" applyFont="1" applyAlignment="1">
      <alignment wrapText="1"/>
    </xf>
    <xf numFmtId="0" fontId="15" fillId="0" borderId="8" xfId="0" applyFont="1" applyBorder="1" applyAlignment="1">
      <alignment horizontal="left" vertical="top" wrapText="1"/>
    </xf>
    <xf numFmtId="0" fontId="14" fillId="0" borderId="8" xfId="0" applyFont="1" applyFill="1" applyBorder="1" applyAlignment="1">
      <alignment horizontal="left" vertical="top" wrapText="1"/>
    </xf>
    <xf numFmtId="0" fontId="4" fillId="0" borderId="9" xfId="0" applyFont="1" applyBorder="1" applyAlignment="1">
      <alignment wrapText="1"/>
    </xf>
    <xf numFmtId="0" fontId="4" fillId="0" borderId="7" xfId="0" applyFont="1" applyBorder="1" applyAlignment="1">
      <alignment wrapText="1"/>
    </xf>
    <xf numFmtId="168" fontId="4" fillId="0" borderId="10" xfId="0" applyNumberFormat="1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8" xfId="0" applyFont="1" applyBorder="1" applyAlignment="1">
      <alignment vertical="top" wrapText="1"/>
    </xf>
    <xf numFmtId="0" fontId="4" fillId="3" borderId="8" xfId="0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right" vertical="top" wrapText="1"/>
    </xf>
    <xf numFmtId="0" fontId="1" fillId="0" borderId="0" xfId="0" applyFont="1" applyAlignment="1">
      <alignment horizontal="center" wrapText="1"/>
    </xf>
    <xf numFmtId="166" fontId="4" fillId="0" borderId="0" xfId="0" applyNumberFormat="1" applyFont="1" applyAlignment="1">
      <alignment wrapText="1"/>
    </xf>
    <xf numFmtId="0" fontId="4" fillId="0" borderId="0" xfId="0" applyFont="1" applyAlignment="1">
      <alignment vertical="center"/>
    </xf>
    <xf numFmtId="167" fontId="4" fillId="0" borderId="0" xfId="0" applyNumberFormat="1" applyFont="1" applyAlignment="1">
      <alignment wrapText="1"/>
    </xf>
    <xf numFmtId="166" fontId="4" fillId="0" borderId="7" xfId="0" applyNumberFormat="1" applyFont="1" applyBorder="1" applyAlignment="1">
      <alignment wrapText="1"/>
    </xf>
    <xf numFmtId="0" fontId="6" fillId="0" borderId="2" xfId="0" applyFont="1" applyBorder="1" applyAlignment="1">
      <alignment wrapText="1"/>
    </xf>
    <xf numFmtId="166" fontId="4" fillId="0" borderId="6" xfId="0" applyNumberFormat="1" applyFont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66" fontId="4" fillId="0" borderId="0" xfId="0" applyNumberFormat="1" applyFont="1" applyAlignment="1">
      <alignment vertical="top"/>
    </xf>
    <xf numFmtId="164" fontId="4" fillId="0" borderId="0" xfId="0" applyNumberFormat="1" applyFont="1" applyAlignment="1">
      <alignment vertical="top" wrapText="1"/>
    </xf>
    <xf numFmtId="165" fontId="7" fillId="0" borderId="0" xfId="0" applyNumberFormat="1" applyFont="1" applyAlignment="1">
      <alignment vertical="top" wrapText="1"/>
    </xf>
    <xf numFmtId="0" fontId="7" fillId="0" borderId="0" xfId="0" applyFont="1" applyAlignment="1">
      <alignment vertical="top" wrapText="1"/>
    </xf>
    <xf numFmtId="164" fontId="7" fillId="0" borderId="0" xfId="0" applyNumberFormat="1" applyFont="1" applyAlignment="1">
      <alignment vertical="top" wrapText="1"/>
    </xf>
    <xf numFmtId="0" fontId="7" fillId="0" borderId="0" xfId="0" applyFont="1" applyAlignment="1">
      <alignment wrapText="1"/>
    </xf>
    <xf numFmtId="165" fontId="4" fillId="0" borderId="0" xfId="0" applyNumberFormat="1" applyFont="1" applyAlignment="1">
      <alignment vertical="top" wrapText="1"/>
    </xf>
    <xf numFmtId="166" fontId="4" fillId="0" borderId="0" xfId="0" applyNumberFormat="1" applyFont="1"/>
    <xf numFmtId="0" fontId="4" fillId="0" borderId="4" xfId="0" applyFont="1" applyBorder="1" applyAlignment="1">
      <alignment wrapText="1"/>
    </xf>
    <xf numFmtId="0" fontId="4" fillId="0" borderId="7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11" fillId="4" borderId="8" xfId="0" applyFont="1" applyFill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3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0" fontId="4" fillId="5" borderId="0" xfId="0" applyFont="1" applyFill="1" applyAlignment="1">
      <alignment vertical="center"/>
    </xf>
    <xf numFmtId="0" fontId="16" fillId="0" borderId="8" xfId="0" applyFont="1" applyBorder="1" applyAlignment="1">
      <alignment horizontal="left" vertical="top" wrapText="1"/>
    </xf>
    <xf numFmtId="165" fontId="9" fillId="0" borderId="10" xfId="0" applyNumberFormat="1" applyFont="1" applyBorder="1" applyAlignment="1">
      <alignment horizontal="right" vertical="top" wrapText="1"/>
    </xf>
    <xf numFmtId="165" fontId="4" fillId="0" borderId="12" xfId="0" applyNumberFormat="1" applyFont="1" applyBorder="1" applyAlignment="1">
      <alignment horizontal="righ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11" xfId="0" applyFont="1" applyBorder="1" applyAlignment="1">
      <alignment wrapText="1"/>
    </xf>
    <xf numFmtId="0" fontId="4" fillId="0" borderId="13" xfId="0" applyFont="1" applyBorder="1" applyAlignment="1">
      <alignment wrapText="1"/>
    </xf>
    <xf numFmtId="0" fontId="0" fillId="0" borderId="13" xfId="0" applyBorder="1" applyAlignment="1">
      <alignment wrapText="1"/>
    </xf>
    <xf numFmtId="165" fontId="4" fillId="0" borderId="10" xfId="0" applyNumberFormat="1" applyFont="1" applyBorder="1" applyAlignment="1">
      <alignment horizontal="right" vertical="top" wrapText="1"/>
    </xf>
    <xf numFmtId="0" fontId="14" fillId="0" borderId="10" xfId="0" applyFont="1" applyBorder="1" applyAlignment="1">
      <alignment horizontal="left" vertical="top" wrapText="1"/>
    </xf>
    <xf numFmtId="0" fontId="15" fillId="0" borderId="0" xfId="0" applyFont="1" applyAlignment="1">
      <alignment wrapText="1"/>
    </xf>
    <xf numFmtId="8" fontId="4" fillId="0" borderId="0" xfId="0" applyNumberFormat="1" applyFont="1" applyAlignment="1">
      <alignment wrapText="1"/>
    </xf>
    <xf numFmtId="0" fontId="0" fillId="0" borderId="12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14" fillId="3" borderId="8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horizontal="left" vertical="top" wrapText="1"/>
    </xf>
    <xf numFmtId="0" fontId="14" fillId="0" borderId="12" xfId="0" applyFont="1" applyBorder="1" applyAlignment="1">
      <alignment horizontal="left" vertical="top" wrapText="1"/>
    </xf>
    <xf numFmtId="0" fontId="14" fillId="0" borderId="12" xfId="0" applyFont="1" applyFill="1" applyBorder="1" applyAlignment="1">
      <alignment horizontal="left" vertical="top" wrapText="1"/>
    </xf>
    <xf numFmtId="0" fontId="17" fillId="0" borderId="8" xfId="0" applyFont="1" applyBorder="1" applyAlignment="1">
      <alignment horizontal="center" vertical="top" wrapText="1"/>
    </xf>
    <xf numFmtId="0" fontId="14" fillId="0" borderId="7" xfId="0" applyFont="1" applyFill="1" applyBorder="1" applyAlignment="1">
      <alignment wrapText="1"/>
    </xf>
    <xf numFmtId="0" fontId="0" fillId="0" borderId="7" xfId="0" applyFont="1" applyBorder="1" applyAlignment="1">
      <alignment wrapText="1"/>
    </xf>
    <xf numFmtId="0" fontId="0" fillId="5" borderId="0" xfId="0" applyFont="1" applyFill="1" applyAlignment="1">
      <alignment wrapText="1"/>
    </xf>
    <xf numFmtId="165" fontId="0" fillId="0" borderId="0" xfId="0" applyNumberFormat="1" applyFont="1" applyAlignment="1">
      <alignment vertical="center"/>
    </xf>
    <xf numFmtId="166" fontId="0" fillId="0" borderId="0" xfId="0" applyNumberFormat="1" applyFont="1" applyAlignment="1">
      <alignment wrapText="1"/>
    </xf>
    <xf numFmtId="0" fontId="0" fillId="0" borderId="0" xfId="0" applyFont="1" applyFill="1" applyAlignment="1">
      <alignment wrapText="1"/>
    </xf>
    <xf numFmtId="0" fontId="0" fillId="0" borderId="5" xfId="0" applyFont="1" applyBorder="1" applyAlignment="1">
      <alignment wrapText="1"/>
    </xf>
    <xf numFmtId="8" fontId="18" fillId="7" borderId="14" xfId="1" applyNumberFormat="1" applyAlignment="1">
      <alignment wrapText="1"/>
    </xf>
    <xf numFmtId="8" fontId="4" fillId="0" borderId="7" xfId="0" applyNumberFormat="1" applyFont="1" applyBorder="1" applyAlignment="1">
      <alignment wrapText="1"/>
    </xf>
    <xf numFmtId="0" fontId="0" fillId="3" borderId="8" xfId="0" applyFont="1" applyFill="1" applyBorder="1" applyAlignment="1">
      <alignment horizontal="left" vertical="top" wrapText="1"/>
    </xf>
    <xf numFmtId="16" fontId="4" fillId="0" borderId="0" xfId="0" applyNumberFormat="1" applyFont="1" applyAlignment="1">
      <alignment wrapText="1"/>
    </xf>
    <xf numFmtId="0" fontId="1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14" fillId="0" borderId="7" xfId="0" applyFont="1" applyBorder="1" applyAlignment="1">
      <alignment wrapText="1"/>
    </xf>
    <xf numFmtId="0" fontId="0" fillId="2" borderId="10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2" borderId="12" xfId="0" applyFont="1" applyFill="1" applyBorder="1" applyAlignment="1">
      <alignment horizontal="left" vertical="top" wrapText="1"/>
    </xf>
    <xf numFmtId="0" fontId="12" fillId="0" borderId="12" xfId="0" applyFont="1" applyBorder="1" applyAlignment="1">
      <alignment horizontal="center" vertical="top" wrapText="1"/>
    </xf>
    <xf numFmtId="0" fontId="14" fillId="0" borderId="5" xfId="0" applyFont="1" applyBorder="1" applyAlignment="1">
      <alignment wrapText="1"/>
    </xf>
    <xf numFmtId="0" fontId="4" fillId="2" borderId="0" xfId="0" applyFont="1" applyFill="1" applyAlignment="1">
      <alignment wrapText="1"/>
    </xf>
    <xf numFmtId="166" fontId="4" fillId="2" borderId="0" xfId="0" applyNumberFormat="1" applyFont="1" applyFill="1" applyAlignment="1">
      <alignment wrapText="1"/>
    </xf>
    <xf numFmtId="0" fontId="0" fillId="2" borderId="0" xfId="0" applyFill="1" applyAlignment="1">
      <alignment wrapText="1"/>
    </xf>
    <xf numFmtId="165" fontId="15" fillId="0" borderId="10" xfId="0" applyNumberFormat="1" applyFont="1" applyBorder="1" applyAlignment="1">
      <alignment horizontal="right" vertical="top" wrapText="1"/>
    </xf>
    <xf numFmtId="0" fontId="15" fillId="2" borderId="10" xfId="0" applyFont="1" applyFill="1" applyBorder="1" applyAlignment="1">
      <alignment horizontal="left" vertical="top" wrapText="1"/>
    </xf>
    <xf numFmtId="165" fontId="4" fillId="0" borderId="16" xfId="0" applyNumberFormat="1" applyFont="1" applyBorder="1" applyAlignment="1">
      <alignment horizontal="right" vertical="top" wrapText="1"/>
    </xf>
    <xf numFmtId="0" fontId="4" fillId="0" borderId="16" xfId="0" applyFont="1" applyBorder="1" applyAlignment="1">
      <alignment horizontal="left" vertical="top" wrapText="1"/>
    </xf>
    <xf numFmtId="0" fontId="0" fillId="3" borderId="16" xfId="0" applyFont="1" applyFill="1" applyBorder="1" applyAlignment="1">
      <alignment horizontal="left" vertical="top" wrapText="1"/>
    </xf>
    <xf numFmtId="0" fontId="0" fillId="0" borderId="16" xfId="0" applyFont="1" applyBorder="1" applyAlignment="1">
      <alignment horizontal="left" vertical="top" wrapText="1"/>
    </xf>
    <xf numFmtId="0" fontId="0" fillId="0" borderId="15" xfId="0" applyFont="1" applyBorder="1" applyAlignment="1">
      <alignment wrapText="1"/>
    </xf>
    <xf numFmtId="0" fontId="4" fillId="0" borderId="17" xfId="0" applyFont="1" applyBorder="1" applyAlignment="1">
      <alignment wrapText="1"/>
    </xf>
    <xf numFmtId="0" fontId="0" fillId="0" borderId="17" xfId="0" applyBorder="1" applyAlignment="1">
      <alignment wrapText="1"/>
    </xf>
    <xf numFmtId="14" fontId="4" fillId="0" borderId="0" xfId="0" applyNumberFormat="1" applyFont="1" applyAlignment="1">
      <alignment wrapText="1"/>
    </xf>
    <xf numFmtId="0" fontId="14" fillId="0" borderId="0" xfId="0" applyFont="1" applyAlignment="1">
      <alignment vertical="center"/>
    </xf>
    <xf numFmtId="166" fontId="14" fillId="0" borderId="0" xfId="0" applyNumberFormat="1" applyFont="1" applyAlignment="1">
      <alignment wrapText="1"/>
    </xf>
    <xf numFmtId="0" fontId="22" fillId="8" borderId="0" xfId="0" applyFont="1" applyFill="1" applyAlignment="1">
      <alignment horizontal="center" wrapText="1"/>
    </xf>
    <xf numFmtId="169" fontId="0" fillId="9" borderId="0" xfId="0" applyNumberFormat="1" applyFill="1" applyAlignment="1">
      <alignment wrapText="1"/>
    </xf>
    <xf numFmtId="0" fontId="0" fillId="9" borderId="0" xfId="0" applyFill="1" applyAlignment="1">
      <alignment wrapText="1"/>
    </xf>
    <xf numFmtId="0" fontId="23" fillId="9" borderId="0" xfId="0" applyFont="1" applyFill="1" applyAlignment="1">
      <alignment wrapText="1"/>
    </xf>
    <xf numFmtId="0" fontId="15" fillId="3" borderId="0" xfId="0" applyFont="1" applyFill="1" applyAlignment="1">
      <alignment wrapText="1"/>
    </xf>
    <xf numFmtId="0" fontId="14" fillId="3" borderId="0" xfId="0" applyFont="1" applyFill="1" applyAlignment="1">
      <alignment wrapText="1"/>
    </xf>
    <xf numFmtId="166" fontId="0" fillId="9" borderId="0" xfId="0" applyNumberFormat="1" applyFill="1" applyAlignment="1">
      <alignment wrapText="1"/>
    </xf>
    <xf numFmtId="0" fontId="15" fillId="9" borderId="0" xfId="0" applyFont="1" applyFill="1" applyAlignment="1">
      <alignment wrapText="1"/>
    </xf>
    <xf numFmtId="169" fontId="14" fillId="10" borderId="0" xfId="0" applyNumberFormat="1" applyFont="1" applyFill="1" applyAlignment="1">
      <alignment wrapText="1"/>
    </xf>
    <xf numFmtId="0" fontId="0" fillId="10" borderId="0" xfId="0" applyFill="1" applyAlignment="1">
      <alignment wrapText="1"/>
    </xf>
    <xf numFmtId="169" fontId="14" fillId="3" borderId="0" xfId="0" applyNumberFormat="1" applyFont="1" applyFill="1" applyAlignment="1">
      <alignment wrapText="1"/>
    </xf>
    <xf numFmtId="0" fontId="0" fillId="3" borderId="0" xfId="0" applyFill="1" applyAlignment="1">
      <alignment wrapText="1"/>
    </xf>
    <xf numFmtId="169" fontId="0" fillId="9" borderId="18" xfId="0" applyNumberFormat="1" applyFill="1" applyBorder="1" applyAlignment="1">
      <alignment wrapText="1"/>
    </xf>
    <xf numFmtId="0" fontId="0" fillId="9" borderId="18" xfId="0" applyFill="1" applyBorder="1" applyAlignment="1">
      <alignment wrapText="1"/>
    </xf>
    <xf numFmtId="0" fontId="0" fillId="0" borderId="18" xfId="0" applyBorder="1" applyAlignment="1">
      <alignment wrapText="1"/>
    </xf>
    <xf numFmtId="166" fontId="0" fillId="9" borderId="19" xfId="0" applyNumberFormat="1" applyFill="1" applyBorder="1" applyAlignment="1">
      <alignment wrapText="1"/>
    </xf>
    <xf numFmtId="0" fontId="0" fillId="9" borderId="19" xfId="0" applyFill="1" applyBorder="1" applyAlignment="1">
      <alignment wrapText="1"/>
    </xf>
    <xf numFmtId="0" fontId="0" fillId="0" borderId="19" xfId="0" applyBorder="1" applyAlignment="1">
      <alignment wrapText="1"/>
    </xf>
    <xf numFmtId="166" fontId="0" fillId="9" borderId="18" xfId="0" applyNumberFormat="1" applyFill="1" applyBorder="1" applyAlignment="1">
      <alignment wrapText="1"/>
    </xf>
    <xf numFmtId="0" fontId="0" fillId="9" borderId="7" xfId="0" applyFill="1" applyBorder="1" applyAlignment="1">
      <alignment wrapText="1"/>
    </xf>
    <xf numFmtId="0" fontId="0" fillId="9" borderId="6" xfId="0" applyFill="1" applyBorder="1" applyAlignment="1">
      <alignment wrapText="1"/>
    </xf>
    <xf numFmtId="169" fontId="0" fillId="9" borderId="19" xfId="0" applyNumberFormat="1" applyFill="1" applyBorder="1" applyAlignment="1">
      <alignment wrapText="1"/>
    </xf>
    <xf numFmtId="169" fontId="0" fillId="9" borderId="7" xfId="0" applyNumberFormat="1" applyFill="1" applyBorder="1" applyAlignment="1">
      <alignment wrapText="1"/>
    </xf>
    <xf numFmtId="166" fontId="0" fillId="9" borderId="6" xfId="0" applyNumberFormat="1" applyFill="1" applyBorder="1" applyAlignment="1">
      <alignment wrapText="1"/>
    </xf>
    <xf numFmtId="166" fontId="0" fillId="10" borderId="0" xfId="0" applyNumberFormat="1" applyFill="1" applyAlignment="1">
      <alignment wrapText="1"/>
    </xf>
    <xf numFmtId="0" fontId="18" fillId="7" borderId="14" xfId="1" applyAlignment="1">
      <alignment wrapText="1"/>
    </xf>
    <xf numFmtId="164" fontId="18" fillId="7" borderId="14" xfId="1" applyNumberFormat="1" applyAlignment="1">
      <alignment vertical="center"/>
    </xf>
    <xf numFmtId="0" fontId="18" fillId="7" borderId="14" xfId="1" applyAlignment="1">
      <alignment vertical="center"/>
    </xf>
    <xf numFmtId="0" fontId="16" fillId="0" borderId="0" xfId="0" applyFont="1" applyAlignment="1">
      <alignment wrapText="1"/>
    </xf>
    <xf numFmtId="0" fontId="16" fillId="0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16" fontId="16" fillId="0" borderId="0" xfId="0" applyNumberFormat="1" applyFont="1" applyAlignment="1">
      <alignment wrapText="1"/>
    </xf>
    <xf numFmtId="0" fontId="1" fillId="6" borderId="1" xfId="0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2" borderId="20" xfId="0" applyFont="1" applyFill="1" applyBorder="1" applyAlignment="1">
      <alignment horizontal="center" vertical="top" wrapText="1"/>
    </xf>
    <xf numFmtId="0" fontId="1" fillId="6" borderId="20" xfId="0" applyFont="1" applyFill="1" applyBorder="1" applyAlignment="1">
      <alignment horizontal="center" vertical="top" wrapText="1"/>
    </xf>
    <xf numFmtId="0" fontId="13" fillId="0" borderId="10" xfId="0" applyFont="1" applyBorder="1" applyAlignment="1">
      <alignment horizontal="left" vertical="top" wrapText="1"/>
    </xf>
    <xf numFmtId="165" fontId="4" fillId="0" borderId="21" xfId="0" applyNumberFormat="1" applyFont="1" applyBorder="1" applyAlignment="1">
      <alignment horizontal="right" vertical="top" wrapText="1"/>
    </xf>
    <xf numFmtId="0" fontId="5" fillId="0" borderId="22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left" vertical="top" wrapText="1"/>
    </xf>
    <xf numFmtId="0" fontId="13" fillId="0" borderId="22" xfId="0" applyFont="1" applyBorder="1" applyAlignment="1">
      <alignment horizontal="left" vertical="top" wrapText="1"/>
    </xf>
    <xf numFmtId="0" fontId="0" fillId="0" borderId="22" xfId="0" applyFont="1" applyFill="1" applyBorder="1" applyAlignment="1">
      <alignment horizontal="left" vertical="top" wrapText="1"/>
    </xf>
    <xf numFmtId="0" fontId="0" fillId="0" borderId="22" xfId="0" applyFont="1" applyBorder="1" applyAlignment="1">
      <alignment horizontal="left" vertical="top" wrapText="1"/>
    </xf>
    <xf numFmtId="0" fontId="14" fillId="0" borderId="22" xfId="0" applyFont="1" applyBorder="1" applyAlignment="1">
      <alignment horizontal="left" vertical="top" wrapText="1"/>
    </xf>
    <xf numFmtId="0" fontId="4" fillId="0" borderId="23" xfId="0" applyFont="1" applyBorder="1" applyAlignment="1">
      <alignment wrapText="1"/>
    </xf>
    <xf numFmtId="0" fontId="4" fillId="0" borderId="24" xfId="0" applyFont="1" applyBorder="1" applyAlignment="1">
      <alignment wrapText="1"/>
    </xf>
    <xf numFmtId="0" fontId="0" fillId="0" borderId="24" xfId="0" applyBorder="1" applyAlignment="1">
      <alignment wrapText="1"/>
    </xf>
    <xf numFmtId="15" fontId="13" fillId="0" borderId="8" xfId="0" applyNumberFormat="1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6" borderId="8" xfId="0" applyFont="1" applyFill="1" applyBorder="1" applyAlignment="1">
      <alignment horizontal="center" vertical="top" wrapText="1"/>
    </xf>
    <xf numFmtId="0" fontId="4" fillId="6" borderId="1" xfId="0" applyFont="1" applyFill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15" fontId="6" fillId="0" borderId="8" xfId="0" applyNumberFormat="1" applyFont="1" applyBorder="1" applyAlignment="1">
      <alignment horizontal="center" vertical="top" wrapText="1"/>
    </xf>
    <xf numFmtId="0" fontId="24" fillId="0" borderId="8" xfId="0" applyFont="1" applyBorder="1" applyAlignment="1">
      <alignment horizontal="center" vertical="top" wrapText="1"/>
    </xf>
    <xf numFmtId="15" fontId="24" fillId="0" borderId="8" xfId="0" applyNumberFormat="1" applyFont="1" applyBorder="1" applyAlignment="1">
      <alignment horizontal="center" vertical="top" wrapText="1"/>
    </xf>
    <xf numFmtId="15" fontId="6" fillId="0" borderId="0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top" wrapText="1"/>
    </xf>
    <xf numFmtId="0" fontId="16" fillId="0" borderId="8" xfId="0" applyFont="1" applyBorder="1" applyAlignment="1">
      <alignment horizontal="center" vertical="top" wrapText="1"/>
    </xf>
    <xf numFmtId="0" fontId="16" fillId="0" borderId="0" xfId="0" applyFont="1" applyAlignment="1">
      <alignment horizontal="center" wrapText="1"/>
    </xf>
    <xf numFmtId="6" fontId="4" fillId="0" borderId="0" xfId="0" applyNumberFormat="1" applyFont="1" applyAlignment="1">
      <alignment wrapText="1"/>
    </xf>
    <xf numFmtId="14" fontId="0" fillId="0" borderId="0" xfId="0" applyNumberFormat="1" applyAlignment="1">
      <alignment wrapText="1"/>
    </xf>
    <xf numFmtId="22" fontId="0" fillId="0" borderId="0" xfId="0" applyNumberFormat="1" applyAlignment="1">
      <alignment wrapText="1"/>
    </xf>
    <xf numFmtId="17" fontId="4" fillId="0" borderId="0" xfId="0" applyNumberFormat="1" applyFont="1" applyAlignment="1">
      <alignment wrapText="1"/>
    </xf>
  </cellXfs>
  <cellStyles count="2">
    <cellStyle name="Calculation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71"/>
  <sheetViews>
    <sheetView tabSelected="1" workbookViewId="0">
      <pane ySplit="1" topLeftCell="A2" activePane="bottomLeft" state="frozen"/>
      <selection pane="bottomLeft" activeCell="O44" sqref="O44"/>
    </sheetView>
  </sheetViews>
  <sheetFormatPr defaultColWidth="8.7109375" defaultRowHeight="12.75" customHeight="1" outlineLevelRow="1" x14ac:dyDescent="0.2"/>
  <cols>
    <col min="1" max="1" width="10.85546875" customWidth="1"/>
    <col min="2" max="2" width="10.5703125" customWidth="1"/>
    <col min="3" max="3" width="14" customWidth="1"/>
    <col min="4" max="4" width="14.85546875" customWidth="1"/>
    <col min="5" max="5" width="16.7109375" customWidth="1"/>
    <col min="6" max="6" width="12.7109375" customWidth="1"/>
    <col min="7" max="7" width="12" customWidth="1"/>
  </cols>
  <sheetData>
    <row r="1" spans="1:16" ht="25.5" customHeight="1" x14ac:dyDescent="0.2">
      <c r="A1" s="16" t="s">
        <v>874</v>
      </c>
      <c r="B1" s="17" t="s">
        <v>0</v>
      </c>
      <c r="C1" s="17" t="s">
        <v>1</v>
      </c>
      <c r="D1" s="17" t="s">
        <v>2</v>
      </c>
      <c r="E1" s="17" t="s">
        <v>851</v>
      </c>
      <c r="F1" s="17" t="s">
        <v>3</v>
      </c>
      <c r="G1" s="17" t="s">
        <v>4</v>
      </c>
      <c r="H1" s="18" t="s">
        <v>5</v>
      </c>
      <c r="I1" s="18" t="s">
        <v>6</v>
      </c>
      <c r="J1" s="18" t="s">
        <v>7</v>
      </c>
      <c r="K1" s="18" t="s">
        <v>8</v>
      </c>
      <c r="L1" s="18" t="s">
        <v>9</v>
      </c>
      <c r="M1" s="179" t="s">
        <v>10</v>
      </c>
      <c r="N1" s="19" t="s">
        <v>11</v>
      </c>
      <c r="O1" s="19" t="s">
        <v>266</v>
      </c>
      <c r="P1" s="20"/>
    </row>
    <row r="2" spans="1:16" ht="25.5" hidden="1" customHeight="1" outlineLevel="1" thickBot="1" x14ac:dyDescent="0.25">
      <c r="A2" s="152">
        <v>2013</v>
      </c>
      <c r="B2" s="153"/>
      <c r="C2" s="153"/>
      <c r="D2" s="153"/>
      <c r="E2" s="153"/>
      <c r="F2" s="153"/>
      <c r="G2" s="153"/>
      <c r="H2" s="154"/>
      <c r="I2" s="154"/>
      <c r="J2" s="154"/>
      <c r="K2" s="154"/>
      <c r="L2" s="154"/>
      <c r="M2" s="155"/>
      <c r="N2" s="155"/>
      <c r="O2" s="150"/>
      <c r="P2" s="151"/>
    </row>
    <row r="3" spans="1:16" s="166" customFormat="1" ht="13.5" hidden="1" outlineLevel="1" thickBot="1" x14ac:dyDescent="0.25">
      <c r="A3" s="157">
        <v>41409</v>
      </c>
      <c r="B3" s="158" t="s">
        <v>12</v>
      </c>
      <c r="C3" s="159" t="s">
        <v>13</v>
      </c>
      <c r="D3" s="159" t="s">
        <v>14</v>
      </c>
      <c r="E3" s="160" t="s">
        <v>15</v>
      </c>
      <c r="F3" s="159"/>
      <c r="G3" s="161" t="s">
        <v>16</v>
      </c>
      <c r="H3" s="162" t="s">
        <v>17</v>
      </c>
      <c r="I3" s="159"/>
      <c r="J3" s="159"/>
      <c r="K3" s="159"/>
      <c r="L3" s="159"/>
      <c r="M3" s="159"/>
      <c r="N3" s="163" t="s">
        <v>17</v>
      </c>
      <c r="O3" s="164"/>
      <c r="P3" s="165"/>
    </row>
    <row r="4" spans="1:16" ht="25.5" hidden="1" outlineLevel="1" x14ac:dyDescent="0.2">
      <c r="A4" s="72">
        <v>41416</v>
      </c>
      <c r="B4" s="35" t="s">
        <v>18</v>
      </c>
      <c r="C4" s="35" t="s">
        <v>13</v>
      </c>
      <c r="D4" s="35" t="s">
        <v>14</v>
      </c>
      <c r="E4" s="156" t="s">
        <v>19</v>
      </c>
      <c r="F4" s="35"/>
      <c r="G4" s="77" t="s">
        <v>16</v>
      </c>
      <c r="H4" s="77" t="s">
        <v>17</v>
      </c>
      <c r="I4" s="35"/>
      <c r="J4" s="35"/>
      <c r="K4" s="35"/>
      <c r="L4" s="35"/>
      <c r="M4" s="35"/>
      <c r="N4" s="35"/>
      <c r="O4" s="28"/>
      <c r="P4" s="29"/>
    </row>
    <row r="5" spans="1:16" hidden="1" outlineLevel="1" x14ac:dyDescent="0.2">
      <c r="A5" s="21">
        <v>41423</v>
      </c>
      <c r="B5" s="22" t="s">
        <v>20</v>
      </c>
      <c r="C5" s="22" t="s">
        <v>13</v>
      </c>
      <c r="D5" s="22" t="s">
        <v>14</v>
      </c>
      <c r="E5" s="23" t="s">
        <v>21</v>
      </c>
      <c r="F5" s="25" t="s">
        <v>22</v>
      </c>
      <c r="G5" s="25" t="s">
        <v>23</v>
      </c>
      <c r="H5" s="25" t="s">
        <v>17</v>
      </c>
      <c r="I5" s="22"/>
      <c r="J5" s="25"/>
      <c r="K5" s="22"/>
      <c r="L5" s="22"/>
      <c r="M5" s="22"/>
      <c r="N5" s="22"/>
      <c r="O5" s="28"/>
      <c r="P5" s="29"/>
    </row>
    <row r="6" spans="1:16" hidden="1" outlineLevel="1" x14ac:dyDescent="0.2">
      <c r="A6" s="21">
        <v>41430</v>
      </c>
      <c r="B6" s="22" t="s">
        <v>24</v>
      </c>
      <c r="C6" s="30" t="s">
        <v>25</v>
      </c>
      <c r="D6" s="22" t="s">
        <v>14</v>
      </c>
      <c r="E6" s="31" t="s">
        <v>26</v>
      </c>
      <c r="F6" s="25" t="s">
        <v>27</v>
      </c>
      <c r="G6" s="26" t="s">
        <v>23</v>
      </c>
      <c r="H6" s="22"/>
      <c r="I6" s="26" t="s">
        <v>28</v>
      </c>
      <c r="J6" s="22"/>
      <c r="K6" s="22"/>
      <c r="L6" s="22"/>
      <c r="M6" s="22"/>
      <c r="N6" s="22"/>
      <c r="O6" s="28"/>
      <c r="P6" s="29"/>
    </row>
    <row r="7" spans="1:16" hidden="1" outlineLevel="1" x14ac:dyDescent="0.2">
      <c r="A7" s="21">
        <v>41437</v>
      </c>
      <c r="B7" s="22" t="s">
        <v>29</v>
      </c>
      <c r="C7" s="30" t="s">
        <v>25</v>
      </c>
      <c r="D7" s="22" t="s">
        <v>14</v>
      </c>
      <c r="E7" s="26" t="s">
        <v>30</v>
      </c>
      <c r="F7" s="25" t="s">
        <v>31</v>
      </c>
      <c r="G7" s="25" t="s">
        <v>23</v>
      </c>
      <c r="H7" s="22"/>
      <c r="I7" s="25" t="s">
        <v>28</v>
      </c>
      <c r="J7" s="22"/>
      <c r="K7" s="22"/>
      <c r="L7" s="22"/>
      <c r="M7" s="25" t="s">
        <v>17</v>
      </c>
      <c r="N7" s="22"/>
      <c r="O7" s="28"/>
      <c r="P7" s="29"/>
    </row>
    <row r="8" spans="1:16" hidden="1" outlineLevel="1" x14ac:dyDescent="0.2">
      <c r="A8" s="21">
        <v>41444</v>
      </c>
      <c r="B8" s="22" t="s">
        <v>32</v>
      </c>
      <c r="C8" s="22" t="s">
        <v>33</v>
      </c>
      <c r="D8" s="22" t="s">
        <v>14</v>
      </c>
      <c r="E8" s="25" t="s">
        <v>34</v>
      </c>
      <c r="F8" s="25" t="s">
        <v>35</v>
      </c>
      <c r="G8" s="25" t="s">
        <v>23</v>
      </c>
      <c r="H8" s="22"/>
      <c r="I8" s="22"/>
      <c r="J8" s="25" t="s">
        <v>17</v>
      </c>
      <c r="K8" s="22"/>
      <c r="L8" s="22"/>
      <c r="M8" s="22"/>
      <c r="N8" s="22"/>
      <c r="O8" s="28"/>
      <c r="P8" s="29"/>
    </row>
    <row r="9" spans="1:16" hidden="1" outlineLevel="1" x14ac:dyDescent="0.2">
      <c r="A9" s="21">
        <v>41451</v>
      </c>
      <c r="B9" s="22" t="s">
        <v>36</v>
      </c>
      <c r="C9" s="22" t="s">
        <v>33</v>
      </c>
      <c r="D9" s="22" t="s">
        <v>14</v>
      </c>
      <c r="E9" s="25" t="s">
        <v>37</v>
      </c>
      <c r="F9" s="22" t="s">
        <v>38</v>
      </c>
      <c r="G9" s="22" t="s">
        <v>23</v>
      </c>
      <c r="H9" s="22"/>
      <c r="I9" s="22"/>
      <c r="J9" s="25" t="s">
        <v>17</v>
      </c>
      <c r="K9" s="22"/>
      <c r="L9" s="22"/>
      <c r="M9" s="22"/>
      <c r="N9" s="22"/>
      <c r="O9" s="28"/>
      <c r="P9" s="29"/>
    </row>
    <row r="10" spans="1:16" hidden="1" outlineLevel="1" x14ac:dyDescent="0.2">
      <c r="A10" s="21">
        <v>41458</v>
      </c>
      <c r="B10" s="22" t="s">
        <v>39</v>
      </c>
      <c r="C10" s="30" t="s">
        <v>40</v>
      </c>
      <c r="D10" s="22" t="s">
        <v>14</v>
      </c>
      <c r="E10" s="65" t="s">
        <v>41</v>
      </c>
      <c r="F10" s="22" t="s">
        <v>42</v>
      </c>
      <c r="G10" s="22" t="s">
        <v>43</v>
      </c>
      <c r="H10" s="22"/>
      <c r="I10" s="25" t="s">
        <v>17</v>
      </c>
      <c r="J10" s="22"/>
      <c r="K10" s="22"/>
      <c r="L10" s="22"/>
      <c r="M10" s="22"/>
      <c r="N10" s="22"/>
      <c r="O10" s="28"/>
      <c r="P10" s="29"/>
    </row>
    <row r="11" spans="1:16" hidden="1" outlineLevel="1" x14ac:dyDescent="0.2">
      <c r="A11" s="21">
        <v>41465</v>
      </c>
      <c r="B11" s="22" t="s">
        <v>44</v>
      </c>
      <c r="C11" s="30" t="s">
        <v>40</v>
      </c>
      <c r="D11" s="22" t="s">
        <v>14</v>
      </c>
      <c r="E11" s="25" t="s">
        <v>241</v>
      </c>
      <c r="F11" s="25" t="s">
        <v>243</v>
      </c>
      <c r="G11" s="25" t="s">
        <v>23</v>
      </c>
      <c r="H11" s="22"/>
      <c r="I11" s="25" t="s">
        <v>17</v>
      </c>
      <c r="J11" s="22"/>
      <c r="K11" s="22"/>
      <c r="L11" s="22"/>
      <c r="M11" s="22"/>
      <c r="N11" s="22"/>
      <c r="O11" s="28"/>
      <c r="P11" s="29"/>
    </row>
    <row r="12" spans="1:16" hidden="1" outlineLevel="1" x14ac:dyDescent="0.2">
      <c r="A12" s="21">
        <v>41472</v>
      </c>
      <c r="B12" s="22" t="s">
        <v>45</v>
      </c>
      <c r="C12" s="22" t="s">
        <v>46</v>
      </c>
      <c r="D12" s="22" t="s">
        <v>14</v>
      </c>
      <c r="E12" s="24" t="s">
        <v>46</v>
      </c>
      <c r="F12" s="25" t="s">
        <v>250</v>
      </c>
      <c r="G12" s="25" t="s">
        <v>23</v>
      </c>
      <c r="H12" s="22"/>
      <c r="I12" s="22"/>
      <c r="J12" s="22"/>
      <c r="K12" s="22"/>
      <c r="L12" s="25" t="s">
        <v>17</v>
      </c>
      <c r="M12" s="22"/>
      <c r="N12" s="22"/>
      <c r="O12" s="28"/>
      <c r="P12" s="29"/>
    </row>
    <row r="13" spans="1:16" s="71" customFormat="1" ht="13.5" hidden="1" outlineLevel="1" thickBot="1" x14ac:dyDescent="0.25">
      <c r="A13" s="67">
        <v>41479</v>
      </c>
      <c r="B13" s="68" t="s">
        <v>47</v>
      </c>
      <c r="C13" s="68" t="s">
        <v>46</v>
      </c>
      <c r="D13" s="68" t="s">
        <v>14</v>
      </c>
      <c r="E13" s="81" t="s">
        <v>271</v>
      </c>
      <c r="F13" s="68"/>
      <c r="G13" s="80" t="s">
        <v>16</v>
      </c>
      <c r="H13" s="68"/>
      <c r="I13" s="68"/>
      <c r="J13" s="68"/>
      <c r="K13" s="68"/>
      <c r="L13" s="76" t="s">
        <v>17</v>
      </c>
      <c r="M13" s="68"/>
      <c r="N13" s="68"/>
      <c r="O13" s="69"/>
      <c r="P13" s="70"/>
    </row>
    <row r="14" spans="1:16" s="11" customFormat="1" hidden="1" outlineLevel="1" x14ac:dyDescent="0.2">
      <c r="A14" s="66">
        <v>41482</v>
      </c>
      <c r="B14" s="9" t="s">
        <v>48</v>
      </c>
      <c r="C14" s="35" t="s">
        <v>13</v>
      </c>
      <c r="D14" s="35" t="s">
        <v>14</v>
      </c>
      <c r="E14" s="35"/>
      <c r="F14" s="35"/>
      <c r="G14" s="73" t="s">
        <v>23</v>
      </c>
      <c r="H14" s="73" t="s">
        <v>17</v>
      </c>
      <c r="I14" s="35"/>
      <c r="J14" s="35"/>
      <c r="K14" s="35"/>
      <c r="L14" s="35"/>
      <c r="M14" s="35"/>
      <c r="N14" s="35"/>
      <c r="O14" s="32"/>
      <c r="P14" s="33"/>
    </row>
    <row r="15" spans="1:16" hidden="1" outlineLevel="1" x14ac:dyDescent="0.2">
      <c r="A15" s="34"/>
      <c r="B15" s="9" t="s">
        <v>48</v>
      </c>
      <c r="C15" s="35" t="s">
        <v>15</v>
      </c>
      <c r="D15" s="35" t="s">
        <v>49</v>
      </c>
      <c r="E15" s="35"/>
      <c r="F15" s="35"/>
      <c r="G15" s="73" t="s">
        <v>23</v>
      </c>
      <c r="H15" s="35"/>
      <c r="I15" s="35"/>
      <c r="J15" s="35"/>
      <c r="K15" s="35"/>
      <c r="L15" s="35"/>
      <c r="M15" s="35"/>
      <c r="N15" s="73" t="s">
        <v>17</v>
      </c>
      <c r="O15" s="28"/>
      <c r="P15" s="29"/>
    </row>
    <row r="16" spans="1:16" hidden="1" outlineLevel="1" x14ac:dyDescent="0.2">
      <c r="A16" s="36"/>
      <c r="B16" s="10" t="s">
        <v>48</v>
      </c>
      <c r="C16" s="25" t="s">
        <v>50</v>
      </c>
      <c r="D16" s="22" t="s">
        <v>51</v>
      </c>
      <c r="E16" s="22"/>
      <c r="F16" s="22"/>
      <c r="G16" s="26" t="s">
        <v>23</v>
      </c>
      <c r="H16" s="22"/>
      <c r="I16" s="22"/>
      <c r="J16" s="22"/>
      <c r="K16" s="22"/>
      <c r="L16" s="22"/>
      <c r="M16" s="22"/>
      <c r="N16" s="22"/>
      <c r="O16" s="89" t="s">
        <v>17</v>
      </c>
      <c r="P16" s="29"/>
    </row>
    <row r="17" spans="1:16" hidden="1" outlineLevel="1" x14ac:dyDescent="0.2">
      <c r="A17" s="36"/>
      <c r="B17" s="82" t="s">
        <v>48</v>
      </c>
      <c r="C17" s="26" t="s">
        <v>252</v>
      </c>
      <c r="D17" s="26" t="s">
        <v>51</v>
      </c>
      <c r="E17" s="22"/>
      <c r="F17" s="22"/>
      <c r="G17" s="26" t="s">
        <v>23</v>
      </c>
      <c r="H17" s="22"/>
      <c r="I17" s="22"/>
      <c r="J17" s="22"/>
      <c r="K17" s="22"/>
      <c r="L17" s="22"/>
      <c r="M17" s="22"/>
      <c r="N17" s="22"/>
      <c r="O17" s="28"/>
      <c r="P17" s="29"/>
    </row>
    <row r="18" spans="1:16" hidden="1" outlineLevel="1" x14ac:dyDescent="0.2">
      <c r="A18" s="36"/>
      <c r="B18" s="10" t="s">
        <v>48</v>
      </c>
      <c r="C18" s="26" t="s">
        <v>57</v>
      </c>
      <c r="D18" s="22" t="s">
        <v>52</v>
      </c>
      <c r="E18" s="22"/>
      <c r="F18" s="22"/>
      <c r="G18" s="26" t="s">
        <v>23</v>
      </c>
      <c r="H18" s="22"/>
      <c r="I18" s="26" t="s">
        <v>53</v>
      </c>
      <c r="J18" s="22"/>
      <c r="K18" s="22"/>
      <c r="L18" s="22"/>
      <c r="M18" s="22"/>
      <c r="N18" s="22"/>
      <c r="O18" s="28"/>
      <c r="P18" s="29"/>
    </row>
    <row r="19" spans="1:16" hidden="1" outlineLevel="1" x14ac:dyDescent="0.2">
      <c r="A19" s="36"/>
      <c r="B19" s="10" t="s">
        <v>48</v>
      </c>
      <c r="C19" s="25" t="s">
        <v>33</v>
      </c>
      <c r="D19" s="22" t="s">
        <v>54</v>
      </c>
      <c r="E19" s="22"/>
      <c r="F19" s="22"/>
      <c r="G19" s="26" t="s">
        <v>23</v>
      </c>
      <c r="H19" s="22"/>
      <c r="I19" s="22"/>
      <c r="J19" s="26" t="s">
        <v>17</v>
      </c>
      <c r="K19" s="22"/>
      <c r="L19" s="22"/>
      <c r="M19" s="22"/>
      <c r="N19" s="22"/>
      <c r="O19" s="28"/>
      <c r="P19" s="29"/>
    </row>
    <row r="20" spans="1:16" s="71" customFormat="1" ht="13.5" hidden="1" outlineLevel="1" thickBot="1" x14ac:dyDescent="0.25">
      <c r="A20" s="67"/>
      <c r="B20" s="68" t="s">
        <v>48</v>
      </c>
      <c r="C20" s="68" t="s">
        <v>248</v>
      </c>
      <c r="D20" s="68" t="s">
        <v>55</v>
      </c>
      <c r="E20" s="81"/>
      <c r="F20" s="68"/>
      <c r="G20" s="80" t="s">
        <v>23</v>
      </c>
      <c r="H20" s="68"/>
      <c r="I20" s="68"/>
      <c r="J20" s="68"/>
      <c r="K20" s="68"/>
      <c r="L20" s="76"/>
      <c r="M20" s="68"/>
      <c r="N20" s="68"/>
      <c r="O20" s="69"/>
      <c r="P20" s="70"/>
    </row>
    <row r="21" spans="1:16" hidden="1" outlineLevel="1" x14ac:dyDescent="0.2">
      <c r="A21" s="72">
        <v>41486</v>
      </c>
      <c r="B21" s="35" t="s">
        <v>56</v>
      </c>
      <c r="C21" s="35" t="s">
        <v>57</v>
      </c>
      <c r="D21" s="35" t="s">
        <v>14</v>
      </c>
      <c r="E21" s="79" t="s">
        <v>273</v>
      </c>
      <c r="F21" s="77" t="s">
        <v>268</v>
      </c>
      <c r="G21" s="77" t="s">
        <v>23</v>
      </c>
      <c r="H21" s="35"/>
      <c r="I21" s="77" t="s">
        <v>17</v>
      </c>
      <c r="J21" s="35"/>
      <c r="K21" s="35"/>
      <c r="L21" s="35"/>
      <c r="M21" s="35"/>
      <c r="N21" s="35"/>
      <c r="O21" s="28"/>
      <c r="P21" s="29"/>
    </row>
    <row r="22" spans="1:16" hidden="1" outlineLevel="1" x14ac:dyDescent="0.2">
      <c r="A22" s="21">
        <v>41493</v>
      </c>
      <c r="B22" s="22" t="s">
        <v>58</v>
      </c>
      <c r="C22" s="22" t="s">
        <v>57</v>
      </c>
      <c r="D22" s="22" t="s">
        <v>14</v>
      </c>
      <c r="E22" s="24" t="s">
        <v>272</v>
      </c>
      <c r="F22" s="25" t="s">
        <v>275</v>
      </c>
      <c r="G22" s="25" t="s">
        <v>23</v>
      </c>
      <c r="H22" s="22"/>
      <c r="I22" s="25" t="s">
        <v>17</v>
      </c>
      <c r="J22" s="22"/>
      <c r="K22" s="22"/>
      <c r="L22" s="22"/>
      <c r="M22" s="22"/>
      <c r="N22" s="22"/>
      <c r="O22" s="28"/>
      <c r="P22" s="29"/>
    </row>
    <row r="23" spans="1:16" hidden="1" outlineLevel="1" x14ac:dyDescent="0.2">
      <c r="A23" s="21">
        <v>41500</v>
      </c>
      <c r="B23" s="22" t="s">
        <v>59</v>
      </c>
      <c r="C23" s="22" t="s">
        <v>46</v>
      </c>
      <c r="D23" s="22" t="s">
        <v>14</v>
      </c>
      <c r="E23" s="24" t="s">
        <v>277</v>
      </c>
      <c r="F23" s="92" t="s">
        <v>276</v>
      </c>
      <c r="G23" s="25" t="s">
        <v>23</v>
      </c>
      <c r="H23" s="22"/>
      <c r="I23" s="22"/>
      <c r="J23" s="22"/>
      <c r="K23" s="22"/>
      <c r="L23" s="25" t="s">
        <v>17</v>
      </c>
      <c r="M23" s="22"/>
      <c r="N23" s="22"/>
      <c r="O23" s="28"/>
      <c r="P23" s="29"/>
    </row>
    <row r="24" spans="1:16" hidden="1" outlineLevel="1" x14ac:dyDescent="0.2">
      <c r="A24" s="21">
        <v>41507</v>
      </c>
      <c r="B24" s="22" t="s">
        <v>60</v>
      </c>
      <c r="C24" s="22" t="s">
        <v>46</v>
      </c>
      <c r="D24" s="22" t="s">
        <v>14</v>
      </c>
      <c r="E24" s="92" t="s">
        <v>280</v>
      </c>
      <c r="F24" s="92" t="s">
        <v>281</v>
      </c>
      <c r="G24" s="25" t="s">
        <v>23</v>
      </c>
      <c r="H24" s="22"/>
      <c r="I24" s="22"/>
      <c r="J24" s="22"/>
      <c r="K24" s="22"/>
      <c r="L24" s="25" t="s">
        <v>17</v>
      </c>
      <c r="M24" s="22"/>
      <c r="N24" s="22"/>
      <c r="O24" s="28"/>
      <c r="P24" s="29"/>
    </row>
    <row r="25" spans="1:16" hidden="1" outlineLevel="1" x14ac:dyDescent="0.2">
      <c r="A25" s="21">
        <v>41514</v>
      </c>
      <c r="B25" s="22" t="s">
        <v>61</v>
      </c>
      <c r="C25" s="22" t="s">
        <v>62</v>
      </c>
      <c r="D25" s="22" t="s">
        <v>14</v>
      </c>
      <c r="E25" s="24" t="s">
        <v>282</v>
      </c>
      <c r="F25" s="22"/>
      <c r="G25" s="25" t="s">
        <v>16</v>
      </c>
      <c r="H25" s="22"/>
      <c r="I25" s="22"/>
      <c r="J25" s="22"/>
      <c r="K25" s="25" t="s">
        <v>17</v>
      </c>
      <c r="L25" s="22"/>
      <c r="M25" s="25" t="s">
        <v>17</v>
      </c>
      <c r="N25" s="22"/>
      <c r="O25" s="28"/>
      <c r="P25" s="29"/>
    </row>
    <row r="26" spans="1:16" hidden="1" outlineLevel="1" x14ac:dyDescent="0.2">
      <c r="A26" s="21">
        <v>41521</v>
      </c>
      <c r="B26" s="22" t="s">
        <v>63</v>
      </c>
      <c r="C26" s="22" t="s">
        <v>62</v>
      </c>
      <c r="D26" s="22" t="s">
        <v>14</v>
      </c>
      <c r="E26" s="25" t="s">
        <v>283</v>
      </c>
      <c r="F26" s="25" t="s">
        <v>284</v>
      </c>
      <c r="G26" s="25" t="s">
        <v>23</v>
      </c>
      <c r="H26" s="22"/>
      <c r="I26" s="22"/>
      <c r="J26" s="22"/>
      <c r="K26" s="25" t="s">
        <v>17</v>
      </c>
      <c r="L26" s="22"/>
      <c r="M26" s="22"/>
      <c r="N26" s="22"/>
      <c r="O26" s="28"/>
      <c r="P26" s="29"/>
    </row>
    <row r="27" spans="1:16" s="71" customFormat="1" ht="13.5" hidden="1" outlineLevel="1" thickBot="1" x14ac:dyDescent="0.25">
      <c r="A27" s="67">
        <v>41528</v>
      </c>
      <c r="B27" s="68" t="s">
        <v>64</v>
      </c>
      <c r="C27" s="68" t="s">
        <v>33</v>
      </c>
      <c r="D27" s="68" t="s">
        <v>14</v>
      </c>
      <c r="E27" s="100" t="s">
        <v>287</v>
      </c>
      <c r="F27" s="76" t="s">
        <v>281</v>
      </c>
      <c r="G27" s="76" t="s">
        <v>23</v>
      </c>
      <c r="H27" s="68"/>
      <c r="I27" s="68"/>
      <c r="J27" s="80" t="s">
        <v>17</v>
      </c>
      <c r="K27" s="68"/>
      <c r="L27" s="68"/>
      <c r="M27" s="68"/>
      <c r="N27" s="68"/>
      <c r="O27" s="69"/>
      <c r="P27" s="70"/>
    </row>
    <row r="28" spans="1:16" s="99" customFormat="1" hidden="1" outlineLevel="1" x14ac:dyDescent="0.2">
      <c r="A28" s="66">
        <v>41531</v>
      </c>
      <c r="B28" s="9" t="s">
        <v>65</v>
      </c>
      <c r="C28" s="35" t="s">
        <v>62</v>
      </c>
      <c r="D28" s="35" t="s">
        <v>14</v>
      </c>
      <c r="E28" s="35"/>
      <c r="F28" s="35"/>
      <c r="G28" s="77" t="s">
        <v>23</v>
      </c>
      <c r="H28" s="35"/>
      <c r="I28" s="35"/>
      <c r="J28" s="35"/>
      <c r="K28" s="73" t="s">
        <v>17</v>
      </c>
      <c r="L28" s="35"/>
      <c r="M28" s="35"/>
      <c r="N28" s="35"/>
      <c r="O28" s="28"/>
      <c r="P28" s="98"/>
    </row>
    <row r="29" spans="1:16" hidden="1" outlineLevel="1" x14ac:dyDescent="0.2">
      <c r="A29" s="21"/>
      <c r="B29" s="10" t="s">
        <v>65</v>
      </c>
      <c r="C29" s="38"/>
      <c r="D29" s="22" t="s">
        <v>49</v>
      </c>
      <c r="E29" s="22"/>
      <c r="F29" s="22"/>
      <c r="G29" s="25" t="s">
        <v>23</v>
      </c>
      <c r="H29" s="22"/>
      <c r="I29" s="22"/>
      <c r="J29" s="22"/>
      <c r="K29" s="22"/>
      <c r="L29" s="22"/>
      <c r="M29" s="22"/>
      <c r="N29" s="22"/>
      <c r="O29" s="28"/>
      <c r="P29" s="29"/>
    </row>
    <row r="30" spans="1:16" hidden="1" outlineLevel="1" x14ac:dyDescent="0.2">
      <c r="A30" s="21"/>
      <c r="B30" s="10" t="s">
        <v>65</v>
      </c>
      <c r="C30" s="22"/>
      <c r="D30" s="22" t="s">
        <v>51</v>
      </c>
      <c r="E30" s="22"/>
      <c r="F30" s="22"/>
      <c r="G30" s="25" t="s">
        <v>23</v>
      </c>
      <c r="H30" s="22"/>
      <c r="I30" s="22"/>
      <c r="J30" s="22"/>
      <c r="K30" s="22"/>
      <c r="L30" s="22"/>
      <c r="M30" s="22"/>
      <c r="N30" s="22"/>
      <c r="O30" s="28"/>
      <c r="P30" s="29"/>
    </row>
    <row r="31" spans="1:16" hidden="1" outlineLevel="1" x14ac:dyDescent="0.2">
      <c r="A31" s="21"/>
      <c r="B31" s="10" t="s">
        <v>65</v>
      </c>
      <c r="C31" s="26" t="s">
        <v>50</v>
      </c>
      <c r="D31" s="26" t="s">
        <v>55</v>
      </c>
      <c r="E31" s="22"/>
      <c r="F31" s="22"/>
      <c r="G31" s="25" t="s">
        <v>23</v>
      </c>
      <c r="H31" s="22"/>
      <c r="I31" s="22"/>
      <c r="J31" s="22"/>
      <c r="K31" s="22"/>
      <c r="L31" s="22"/>
      <c r="M31" s="22"/>
      <c r="N31" s="22"/>
      <c r="O31" s="102" t="s">
        <v>17</v>
      </c>
      <c r="P31" s="29"/>
    </row>
    <row r="32" spans="1:16" hidden="1" outlineLevel="1" x14ac:dyDescent="0.2">
      <c r="A32" s="21"/>
      <c r="B32" s="10" t="s">
        <v>65</v>
      </c>
      <c r="C32" s="25" t="s">
        <v>13</v>
      </c>
      <c r="D32" s="22" t="s">
        <v>54</v>
      </c>
      <c r="E32" s="22"/>
      <c r="F32" s="22"/>
      <c r="G32" s="25" t="s">
        <v>23</v>
      </c>
      <c r="H32" s="26" t="s">
        <v>17</v>
      </c>
      <c r="I32" s="22"/>
      <c r="J32" s="22"/>
      <c r="K32" s="22"/>
      <c r="L32" s="22"/>
      <c r="M32" s="22"/>
      <c r="N32" s="22"/>
      <c r="O32" s="28"/>
      <c r="P32" s="29"/>
    </row>
    <row r="33" spans="1:16" s="71" customFormat="1" ht="13.5" hidden="1" outlineLevel="1" thickBot="1" x14ac:dyDescent="0.25">
      <c r="A33" s="67"/>
      <c r="B33" s="101" t="s">
        <v>65</v>
      </c>
      <c r="C33" s="76" t="s">
        <v>15</v>
      </c>
      <c r="D33" s="68" t="s">
        <v>55</v>
      </c>
      <c r="E33" s="68"/>
      <c r="F33" s="68"/>
      <c r="G33" s="76" t="s">
        <v>23</v>
      </c>
      <c r="H33" s="68"/>
      <c r="I33" s="68"/>
      <c r="J33" s="68"/>
      <c r="K33" s="68"/>
      <c r="L33" s="68"/>
      <c r="M33" s="68"/>
      <c r="N33" s="80" t="s">
        <v>17</v>
      </c>
      <c r="O33" s="69"/>
      <c r="P33" s="70"/>
    </row>
    <row r="34" spans="1:16" s="99" customFormat="1" hidden="1" outlineLevel="1" x14ac:dyDescent="0.2">
      <c r="A34" s="72">
        <v>41535</v>
      </c>
      <c r="B34" s="35" t="s">
        <v>66</v>
      </c>
      <c r="C34" s="35" t="s">
        <v>33</v>
      </c>
      <c r="D34" s="35" t="s">
        <v>14</v>
      </c>
      <c r="E34" s="97" t="s">
        <v>286</v>
      </c>
      <c r="F34" s="77" t="s">
        <v>42</v>
      </c>
      <c r="G34" s="77" t="s">
        <v>23</v>
      </c>
      <c r="H34" s="35"/>
      <c r="I34" s="35"/>
      <c r="J34" s="73" t="s">
        <v>17</v>
      </c>
      <c r="K34" s="35"/>
      <c r="L34" s="35"/>
      <c r="M34" s="35"/>
      <c r="N34" s="35"/>
      <c r="O34" s="28"/>
      <c r="P34" s="98"/>
    </row>
    <row r="35" spans="1:16" hidden="1" outlineLevel="1" x14ac:dyDescent="0.2">
      <c r="A35" s="21">
        <v>41532</v>
      </c>
      <c r="B35" s="22" t="s">
        <v>67</v>
      </c>
      <c r="C35" s="22" t="s">
        <v>13</v>
      </c>
      <c r="D35" s="22" t="s">
        <v>14</v>
      </c>
      <c r="E35" s="92" t="s">
        <v>293</v>
      </c>
      <c r="F35" s="92" t="s">
        <v>302</v>
      </c>
      <c r="G35" s="25" t="s">
        <v>23</v>
      </c>
      <c r="H35" s="25" t="s">
        <v>17</v>
      </c>
      <c r="I35" s="22"/>
      <c r="J35" s="22"/>
      <c r="K35" s="22"/>
      <c r="L35" s="22"/>
      <c r="M35" s="22"/>
      <c r="N35" s="22"/>
      <c r="O35" s="28"/>
      <c r="P35" s="29"/>
    </row>
    <row r="36" spans="1:16" s="114" customFormat="1" ht="13.5" hidden="1" outlineLevel="1" thickBot="1" x14ac:dyDescent="0.25">
      <c r="A36" s="108">
        <v>41549</v>
      </c>
      <c r="B36" s="109" t="s">
        <v>71</v>
      </c>
      <c r="C36" s="109" t="s">
        <v>13</v>
      </c>
      <c r="D36" s="109" t="s">
        <v>14</v>
      </c>
      <c r="E36" s="110" t="s">
        <v>292</v>
      </c>
      <c r="F36" s="110" t="s">
        <v>303</v>
      </c>
      <c r="G36" s="111" t="s">
        <v>23</v>
      </c>
      <c r="H36" s="111" t="s">
        <v>17</v>
      </c>
      <c r="I36" s="109"/>
      <c r="J36" s="109"/>
      <c r="K36" s="109"/>
      <c r="L36" s="109"/>
      <c r="M36" s="109"/>
      <c r="N36" s="109"/>
      <c r="O36" s="112" t="s">
        <v>17</v>
      </c>
      <c r="P36" s="113"/>
    </row>
    <row r="37" spans="1:16" ht="13.5" hidden="1" outlineLevel="1" thickTop="1" x14ac:dyDescent="0.2">
      <c r="A37" s="106">
        <v>41551</v>
      </c>
      <c r="B37" s="9" t="s">
        <v>68</v>
      </c>
      <c r="C37" s="107" t="s">
        <v>301</v>
      </c>
      <c r="D37" s="35" t="s">
        <v>14</v>
      </c>
      <c r="E37" s="35"/>
      <c r="F37" s="35"/>
      <c r="G37" s="77" t="s">
        <v>308</v>
      </c>
      <c r="H37" s="35"/>
      <c r="I37" s="35"/>
      <c r="J37" s="35"/>
      <c r="K37" s="35"/>
      <c r="L37" s="35"/>
      <c r="M37" s="35"/>
      <c r="N37" s="35"/>
      <c r="O37" s="28"/>
      <c r="P37" s="29"/>
    </row>
    <row r="38" spans="1:16" hidden="1" outlineLevel="1" x14ac:dyDescent="0.2">
      <c r="A38" s="21"/>
      <c r="B38" s="10" t="s">
        <v>68</v>
      </c>
      <c r="C38" s="22"/>
      <c r="D38" s="22" t="s">
        <v>49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8"/>
      <c r="P38" s="29"/>
    </row>
    <row r="39" spans="1:16" hidden="1" outlineLevel="1" x14ac:dyDescent="0.2">
      <c r="A39" s="21"/>
      <c r="B39" s="10" t="s">
        <v>68</v>
      </c>
      <c r="C39" s="38"/>
      <c r="D39" s="22" t="s">
        <v>51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8"/>
      <c r="P39" s="29"/>
    </row>
    <row r="40" spans="1:16" hidden="1" outlineLevel="1" x14ac:dyDescent="0.2">
      <c r="A40" s="21"/>
      <c r="B40" s="10" t="s">
        <v>68</v>
      </c>
      <c r="C40" s="25"/>
      <c r="D40" s="22" t="s">
        <v>69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8"/>
      <c r="P40" s="29"/>
    </row>
    <row r="41" spans="1:16" hidden="1" outlineLevel="1" x14ac:dyDescent="0.2">
      <c r="A41" s="21"/>
      <c r="B41" s="10" t="s">
        <v>68</v>
      </c>
      <c r="C41" s="22"/>
      <c r="D41" s="22" t="s">
        <v>54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8"/>
      <c r="P41" s="29"/>
    </row>
    <row r="42" spans="1:16" hidden="1" outlineLevel="1" x14ac:dyDescent="0.2">
      <c r="A42" s="21"/>
      <c r="B42" s="10" t="s">
        <v>68</v>
      </c>
      <c r="C42" s="78"/>
      <c r="D42" s="22" t="s">
        <v>55</v>
      </c>
      <c r="E42" s="37"/>
      <c r="F42" s="37"/>
      <c r="G42" s="22"/>
      <c r="H42" s="22"/>
      <c r="I42" s="22"/>
      <c r="J42" s="22"/>
      <c r="K42" s="22"/>
      <c r="L42" s="22"/>
      <c r="M42" s="22"/>
      <c r="N42" s="22"/>
      <c r="O42" s="28"/>
      <c r="P42" s="29"/>
    </row>
    <row r="43" spans="1:16" ht="12.75" customHeight="1" collapsed="1" x14ac:dyDescent="0.2">
      <c r="A43" s="178">
        <v>2014</v>
      </c>
    </row>
    <row r="44" spans="1:16" s="29" customFormat="1" x14ac:dyDescent="0.2">
      <c r="A44" s="176">
        <v>41773</v>
      </c>
      <c r="B44" s="175" t="s">
        <v>852</v>
      </c>
      <c r="C44" s="168" t="s">
        <v>13</v>
      </c>
      <c r="D44" s="168" t="s">
        <v>14</v>
      </c>
      <c r="E44" s="168" t="s">
        <v>50</v>
      </c>
      <c r="F44" s="168"/>
      <c r="G44" s="168"/>
      <c r="H44" s="169" t="s">
        <v>17</v>
      </c>
      <c r="I44" s="169"/>
      <c r="J44" s="169"/>
      <c r="K44" s="169"/>
      <c r="L44" s="169"/>
      <c r="M44" s="170"/>
      <c r="N44" s="170"/>
      <c r="O44" s="171"/>
      <c r="P44" s="172"/>
    </row>
    <row r="45" spans="1:16" s="29" customFormat="1" x14ac:dyDescent="0.2">
      <c r="A45" s="167">
        <v>41780</v>
      </c>
      <c r="B45" s="168" t="s">
        <v>854</v>
      </c>
      <c r="C45" s="168" t="s">
        <v>13</v>
      </c>
      <c r="D45" s="168" t="s">
        <v>14</v>
      </c>
      <c r="E45" s="168"/>
      <c r="F45" s="168"/>
      <c r="G45" s="168"/>
      <c r="H45" s="169" t="s">
        <v>17</v>
      </c>
      <c r="I45" s="169"/>
      <c r="J45" s="169"/>
      <c r="K45" s="169"/>
      <c r="L45" s="169"/>
      <c r="M45" s="170"/>
      <c r="N45" s="170"/>
      <c r="O45" s="171"/>
      <c r="P45" s="172"/>
    </row>
    <row r="46" spans="1:16" s="29" customFormat="1" x14ac:dyDescent="0.2">
      <c r="A46" s="167">
        <v>41787</v>
      </c>
      <c r="B46" s="168" t="s">
        <v>853</v>
      </c>
      <c r="C46" s="168" t="s">
        <v>13</v>
      </c>
      <c r="D46" s="168" t="s">
        <v>14</v>
      </c>
      <c r="E46" s="168"/>
      <c r="F46" s="168"/>
      <c r="G46" s="168"/>
      <c r="H46" s="169" t="s">
        <v>17</v>
      </c>
      <c r="I46" s="169"/>
      <c r="J46" s="169"/>
      <c r="K46" s="169"/>
      <c r="L46" s="169"/>
      <c r="M46" s="170"/>
      <c r="N46" s="170"/>
      <c r="O46" s="171"/>
      <c r="P46" s="172"/>
    </row>
    <row r="47" spans="1:16" s="29" customFormat="1" x14ac:dyDescent="0.2">
      <c r="A47" s="167">
        <v>41794</v>
      </c>
      <c r="B47" s="168" t="s">
        <v>855</v>
      </c>
      <c r="C47" s="168" t="s">
        <v>62</v>
      </c>
      <c r="D47" s="168" t="s">
        <v>14</v>
      </c>
      <c r="E47" s="168"/>
      <c r="F47" s="168"/>
      <c r="G47" s="168"/>
      <c r="H47" s="169"/>
      <c r="I47" s="169"/>
      <c r="J47" s="169"/>
      <c r="K47" s="169"/>
      <c r="L47" s="169"/>
      <c r="M47" s="170"/>
      <c r="N47" s="170"/>
      <c r="O47" s="171"/>
      <c r="P47" s="172"/>
    </row>
    <row r="48" spans="1:16" s="29" customFormat="1" x14ac:dyDescent="0.2">
      <c r="A48" s="167">
        <v>41801</v>
      </c>
      <c r="B48" s="168" t="s">
        <v>856</v>
      </c>
      <c r="C48" s="168" t="s">
        <v>62</v>
      </c>
      <c r="D48" s="168" t="s">
        <v>14</v>
      </c>
      <c r="E48" s="168"/>
      <c r="F48" s="168"/>
      <c r="G48" s="168"/>
      <c r="H48" s="169"/>
      <c r="I48" s="169"/>
      <c r="J48" s="169"/>
      <c r="K48" s="169"/>
      <c r="L48" s="169"/>
      <c r="M48" s="170"/>
      <c r="N48" s="170"/>
      <c r="O48" s="171"/>
      <c r="P48" s="172"/>
    </row>
    <row r="49" spans="1:16" s="29" customFormat="1" x14ac:dyDescent="0.2">
      <c r="A49" s="167">
        <v>41808</v>
      </c>
      <c r="B49" s="168" t="s">
        <v>857</v>
      </c>
      <c r="C49" s="168" t="s">
        <v>33</v>
      </c>
      <c r="D49" s="168" t="s">
        <v>14</v>
      </c>
      <c r="E49" s="168"/>
      <c r="F49" s="168"/>
      <c r="G49" s="168"/>
      <c r="H49" s="169"/>
      <c r="I49" s="169"/>
      <c r="J49" s="169"/>
      <c r="K49" s="169"/>
      <c r="L49" s="169"/>
      <c r="M49" s="170"/>
      <c r="N49" s="170"/>
      <c r="O49" s="171"/>
      <c r="P49" s="172"/>
    </row>
    <row r="50" spans="1:16" s="29" customFormat="1" x14ac:dyDescent="0.2">
      <c r="A50" s="167">
        <v>41815</v>
      </c>
      <c r="B50" s="168" t="s">
        <v>858</v>
      </c>
      <c r="C50" s="168" t="s">
        <v>33</v>
      </c>
      <c r="D50" s="168" t="s">
        <v>14</v>
      </c>
      <c r="E50" s="168"/>
      <c r="F50" s="168"/>
      <c r="G50" s="168"/>
      <c r="H50" s="169"/>
      <c r="I50" s="169"/>
      <c r="J50" s="169"/>
      <c r="K50" s="169"/>
      <c r="L50" s="169"/>
      <c r="M50" s="170"/>
      <c r="N50" s="170"/>
      <c r="O50" s="171"/>
      <c r="P50" s="172"/>
    </row>
    <row r="51" spans="1:16" s="29" customFormat="1" x14ac:dyDescent="0.2">
      <c r="A51" s="167">
        <v>41822</v>
      </c>
      <c r="B51" s="168" t="s">
        <v>859</v>
      </c>
      <c r="C51" s="168" t="s">
        <v>57</v>
      </c>
      <c r="D51" s="168" t="s">
        <v>14</v>
      </c>
      <c r="E51" s="168"/>
      <c r="F51" s="168"/>
      <c r="G51" s="168"/>
      <c r="H51" s="169"/>
      <c r="I51" s="169"/>
      <c r="J51" s="169"/>
      <c r="K51" s="169"/>
      <c r="L51" s="169"/>
      <c r="M51" s="170"/>
      <c r="N51" s="170"/>
      <c r="O51" s="171"/>
      <c r="P51" s="172"/>
    </row>
    <row r="52" spans="1:16" s="29" customFormat="1" x14ac:dyDescent="0.2">
      <c r="A52" s="167">
        <v>41829</v>
      </c>
      <c r="B52" s="168" t="s">
        <v>860</v>
      </c>
      <c r="C52" s="168" t="s">
        <v>57</v>
      </c>
      <c r="D52" s="168" t="s">
        <v>14</v>
      </c>
      <c r="E52" s="168"/>
      <c r="F52" s="168"/>
      <c r="G52" s="168"/>
      <c r="H52" s="169"/>
      <c r="I52" s="169"/>
      <c r="J52" s="169"/>
      <c r="K52" s="169"/>
      <c r="L52" s="169"/>
      <c r="M52" s="170"/>
      <c r="N52" s="170"/>
      <c r="O52" s="171"/>
      <c r="P52" s="172"/>
    </row>
    <row r="53" spans="1:16" s="29" customFormat="1" x14ac:dyDescent="0.2">
      <c r="A53" s="167">
        <v>41836</v>
      </c>
      <c r="B53" s="168" t="s">
        <v>861</v>
      </c>
      <c r="C53" s="168" t="s">
        <v>46</v>
      </c>
      <c r="D53" s="168" t="s">
        <v>14</v>
      </c>
      <c r="E53" s="168"/>
      <c r="F53" s="168"/>
      <c r="G53" s="168"/>
      <c r="H53" s="169"/>
      <c r="I53" s="169"/>
      <c r="J53" s="169"/>
      <c r="K53" s="169"/>
      <c r="L53" s="169"/>
      <c r="M53" s="170"/>
      <c r="N53" s="170"/>
      <c r="O53" s="171"/>
      <c r="P53" s="172"/>
    </row>
    <row r="54" spans="1:16" s="29" customFormat="1" x14ac:dyDescent="0.2">
      <c r="A54" s="167">
        <v>41843</v>
      </c>
      <c r="B54" s="168" t="s">
        <v>862</v>
      </c>
      <c r="C54" s="168" t="s">
        <v>46</v>
      </c>
      <c r="D54" s="168" t="s">
        <v>14</v>
      </c>
      <c r="E54" s="168"/>
      <c r="F54" s="168"/>
      <c r="G54" s="168"/>
      <c r="H54" s="169"/>
      <c r="I54" s="169"/>
      <c r="J54" s="169"/>
      <c r="K54" s="169"/>
      <c r="L54" s="169"/>
      <c r="M54" s="170"/>
      <c r="N54" s="170"/>
      <c r="O54" s="171"/>
      <c r="P54" s="172"/>
    </row>
    <row r="55" spans="1:16" s="29" customFormat="1" x14ac:dyDescent="0.2">
      <c r="A55" s="174">
        <v>41846</v>
      </c>
      <c r="B55" s="168" t="s">
        <v>265</v>
      </c>
      <c r="C55" s="168" t="s">
        <v>13</v>
      </c>
      <c r="D55" s="168" t="s">
        <v>14</v>
      </c>
      <c r="E55" s="168"/>
      <c r="F55" s="168"/>
      <c r="G55" s="168"/>
      <c r="H55" s="169"/>
      <c r="I55" s="169"/>
      <c r="J55" s="169"/>
      <c r="K55" s="169"/>
      <c r="L55" s="169"/>
      <c r="M55" s="170"/>
      <c r="N55" s="170"/>
      <c r="O55" s="171"/>
      <c r="P55" s="172"/>
    </row>
    <row r="56" spans="1:16" s="29" customFormat="1" x14ac:dyDescent="0.2">
      <c r="A56" s="173"/>
      <c r="B56" s="168" t="s">
        <v>265</v>
      </c>
      <c r="C56" s="168" t="s">
        <v>50</v>
      </c>
      <c r="D56" s="168" t="s">
        <v>863</v>
      </c>
      <c r="E56" s="168"/>
      <c r="F56" s="168"/>
      <c r="G56" s="168"/>
      <c r="H56" s="169"/>
      <c r="I56" s="169"/>
      <c r="J56" s="169"/>
      <c r="K56" s="169"/>
      <c r="L56" s="169"/>
      <c r="M56" s="170"/>
      <c r="N56" s="170"/>
      <c r="O56" s="171"/>
      <c r="P56" s="172"/>
    </row>
    <row r="57" spans="1:16" s="29" customFormat="1" x14ac:dyDescent="0.2">
      <c r="A57" s="173"/>
      <c r="B57" s="168" t="s">
        <v>265</v>
      </c>
      <c r="C57" s="168" t="s">
        <v>15</v>
      </c>
      <c r="D57" s="168" t="s">
        <v>863</v>
      </c>
      <c r="E57" s="168"/>
      <c r="F57" s="168"/>
      <c r="G57" s="168"/>
      <c r="H57" s="169"/>
      <c r="I57" s="169"/>
      <c r="J57" s="169"/>
      <c r="K57" s="169"/>
      <c r="L57" s="169"/>
      <c r="M57" s="170"/>
      <c r="N57" s="170"/>
      <c r="O57" s="171"/>
      <c r="P57" s="172"/>
    </row>
    <row r="58" spans="1:16" s="29" customFormat="1" x14ac:dyDescent="0.2">
      <c r="A58" s="173"/>
      <c r="B58" s="168" t="s">
        <v>265</v>
      </c>
      <c r="C58" s="168" t="s">
        <v>33</v>
      </c>
      <c r="D58" s="168" t="s">
        <v>640</v>
      </c>
      <c r="E58" s="168"/>
      <c r="F58" s="168"/>
      <c r="G58" s="168"/>
      <c r="H58" s="169"/>
      <c r="I58" s="169"/>
      <c r="J58" s="169"/>
      <c r="K58" s="169"/>
      <c r="L58" s="169"/>
      <c r="M58" s="170"/>
      <c r="N58" s="170"/>
      <c r="O58" s="171"/>
      <c r="P58" s="172"/>
    </row>
    <row r="59" spans="1:16" s="29" customFormat="1" x14ac:dyDescent="0.2">
      <c r="A59" s="173"/>
      <c r="B59" s="168" t="s">
        <v>265</v>
      </c>
      <c r="C59" s="180" t="s">
        <v>248</v>
      </c>
      <c r="D59" s="168" t="s">
        <v>640</v>
      </c>
      <c r="E59" s="168"/>
      <c r="F59" s="168"/>
      <c r="G59" s="168"/>
      <c r="H59" s="169"/>
      <c r="I59" s="169"/>
      <c r="J59" s="169"/>
      <c r="K59" s="169"/>
      <c r="L59" s="169"/>
      <c r="M59" s="170"/>
      <c r="N59" s="170"/>
      <c r="O59" s="171"/>
      <c r="P59" s="172"/>
    </row>
    <row r="60" spans="1:16" s="29" customFormat="1" x14ac:dyDescent="0.2">
      <c r="A60" s="173"/>
      <c r="B60" s="168" t="s">
        <v>265</v>
      </c>
      <c r="C60" s="168"/>
      <c r="D60" s="168"/>
      <c r="E60" s="168"/>
      <c r="F60" s="168"/>
      <c r="G60" s="168"/>
      <c r="H60" s="169"/>
      <c r="I60" s="169"/>
      <c r="J60" s="169"/>
      <c r="K60" s="169"/>
      <c r="L60" s="169"/>
      <c r="M60" s="170"/>
      <c r="N60" s="170"/>
      <c r="O60" s="171"/>
      <c r="P60" s="172"/>
    </row>
    <row r="61" spans="1:16" s="29" customFormat="1" x14ac:dyDescent="0.2">
      <c r="A61" s="167">
        <v>41850</v>
      </c>
      <c r="B61" s="168" t="s">
        <v>864</v>
      </c>
      <c r="C61" s="168" t="s">
        <v>57</v>
      </c>
      <c r="D61" s="168" t="s">
        <v>14</v>
      </c>
      <c r="E61" s="168"/>
      <c r="F61" s="168"/>
      <c r="G61" s="168"/>
      <c r="H61" s="169"/>
      <c r="I61" s="169"/>
      <c r="J61" s="169"/>
      <c r="K61" s="169"/>
      <c r="L61" s="169"/>
      <c r="M61" s="170"/>
      <c r="N61" s="170"/>
      <c r="O61" s="171"/>
      <c r="P61" s="172"/>
    </row>
    <row r="62" spans="1:16" s="29" customFormat="1" x14ac:dyDescent="0.2">
      <c r="A62" s="167">
        <v>41857</v>
      </c>
      <c r="B62" s="168" t="s">
        <v>865</v>
      </c>
      <c r="C62" s="168" t="s">
        <v>57</v>
      </c>
      <c r="D62" s="168" t="s">
        <v>14</v>
      </c>
      <c r="E62" s="168"/>
      <c r="F62" s="168"/>
      <c r="G62" s="168"/>
      <c r="H62" s="169"/>
      <c r="I62" s="169"/>
      <c r="J62" s="169"/>
      <c r="K62" s="169"/>
      <c r="L62" s="169"/>
      <c r="M62" s="170"/>
      <c r="N62" s="170"/>
      <c r="O62" s="171"/>
      <c r="P62" s="172"/>
    </row>
    <row r="63" spans="1:16" s="29" customFormat="1" x14ac:dyDescent="0.2">
      <c r="A63" s="167">
        <v>41864</v>
      </c>
      <c r="B63" s="168" t="s">
        <v>866</v>
      </c>
      <c r="C63" s="168" t="s">
        <v>46</v>
      </c>
      <c r="D63" s="168" t="s">
        <v>14</v>
      </c>
      <c r="E63" s="168"/>
      <c r="F63" s="168"/>
      <c r="G63" s="168"/>
      <c r="H63" s="169"/>
      <c r="I63" s="169"/>
      <c r="J63" s="169"/>
      <c r="K63" s="169"/>
      <c r="L63" s="169"/>
      <c r="M63" s="170"/>
      <c r="N63" s="170"/>
      <c r="O63" s="171"/>
      <c r="P63" s="172"/>
    </row>
    <row r="64" spans="1:16" s="29" customFormat="1" x14ac:dyDescent="0.2">
      <c r="A64" s="167">
        <v>41871</v>
      </c>
      <c r="B64" s="168" t="s">
        <v>867</v>
      </c>
      <c r="C64" s="168" t="s">
        <v>46</v>
      </c>
      <c r="D64" s="168" t="s">
        <v>14</v>
      </c>
      <c r="E64" s="168"/>
      <c r="F64" s="168"/>
      <c r="G64" s="168"/>
      <c r="H64" s="169"/>
      <c r="I64" s="169"/>
      <c r="J64" s="169"/>
      <c r="K64" s="169"/>
      <c r="L64" s="169"/>
      <c r="M64" s="170"/>
      <c r="N64" s="170"/>
      <c r="O64" s="171"/>
      <c r="P64" s="172"/>
    </row>
    <row r="65" spans="1:16" s="29" customFormat="1" x14ac:dyDescent="0.2">
      <c r="A65" s="167">
        <v>41878</v>
      </c>
      <c r="B65" s="168" t="s">
        <v>868</v>
      </c>
      <c r="C65" s="168" t="s">
        <v>62</v>
      </c>
      <c r="D65" s="168" t="s">
        <v>14</v>
      </c>
      <c r="E65" s="168"/>
      <c r="F65" s="168"/>
      <c r="G65" s="168"/>
      <c r="H65" s="169"/>
      <c r="I65" s="169"/>
      <c r="J65" s="169"/>
      <c r="K65" s="169"/>
      <c r="L65" s="169"/>
      <c r="M65" s="170"/>
      <c r="N65" s="170"/>
      <c r="O65" s="171"/>
      <c r="P65" s="172"/>
    </row>
    <row r="66" spans="1:16" s="29" customFormat="1" ht="12" customHeight="1" x14ac:dyDescent="0.2">
      <c r="A66" s="167">
        <v>41885</v>
      </c>
      <c r="B66" s="168" t="s">
        <v>869</v>
      </c>
      <c r="C66" s="168" t="s">
        <v>62</v>
      </c>
      <c r="D66" s="168" t="s">
        <v>14</v>
      </c>
      <c r="E66" s="168"/>
      <c r="F66" s="168"/>
      <c r="G66" s="168"/>
      <c r="H66" s="169"/>
      <c r="I66" s="169"/>
      <c r="J66" s="169"/>
      <c r="K66" s="169"/>
      <c r="L66" s="169"/>
      <c r="M66" s="170"/>
      <c r="N66" s="170"/>
      <c r="O66" s="171"/>
      <c r="P66" s="172"/>
    </row>
    <row r="67" spans="1:16" s="29" customFormat="1" x14ac:dyDescent="0.2">
      <c r="A67" s="167">
        <v>41892</v>
      </c>
      <c r="B67" s="168" t="s">
        <v>870</v>
      </c>
      <c r="C67" s="168" t="s">
        <v>33</v>
      </c>
      <c r="D67" s="168" t="s">
        <v>14</v>
      </c>
      <c r="E67" s="168"/>
      <c r="F67" s="168"/>
      <c r="G67" s="168"/>
      <c r="H67" s="169"/>
      <c r="I67" s="169"/>
      <c r="J67" s="169"/>
      <c r="K67" s="169"/>
      <c r="L67" s="169"/>
      <c r="M67" s="170"/>
      <c r="N67" s="170"/>
      <c r="O67" s="171"/>
      <c r="P67" s="172"/>
    </row>
    <row r="68" spans="1:16" ht="12.75" customHeight="1" x14ac:dyDescent="0.2">
      <c r="A68" s="167">
        <v>41899</v>
      </c>
      <c r="B68" s="168" t="s">
        <v>871</v>
      </c>
      <c r="C68" s="168" t="s">
        <v>33</v>
      </c>
      <c r="D68" s="168" t="s">
        <v>14</v>
      </c>
      <c r="E68" s="168"/>
      <c r="F68" s="168"/>
      <c r="G68" s="168"/>
      <c r="H68" s="169"/>
      <c r="I68" s="169"/>
      <c r="J68" s="169"/>
      <c r="K68" s="169"/>
      <c r="L68" s="169"/>
      <c r="M68" s="170"/>
      <c r="N68" s="170"/>
      <c r="O68" s="171"/>
    </row>
    <row r="69" spans="1:16" ht="12.75" customHeight="1" x14ac:dyDescent="0.2">
      <c r="A69" s="167">
        <v>41906</v>
      </c>
      <c r="B69" s="168" t="s">
        <v>872</v>
      </c>
      <c r="C69" s="168" t="s">
        <v>13</v>
      </c>
      <c r="D69" s="168" t="s">
        <v>14</v>
      </c>
      <c r="E69" s="168"/>
      <c r="F69" s="168"/>
      <c r="G69" s="168"/>
      <c r="H69" s="169"/>
      <c r="I69" s="169"/>
      <c r="J69" s="169"/>
      <c r="K69" s="169"/>
      <c r="L69" s="169"/>
      <c r="M69" s="170"/>
      <c r="N69" s="170"/>
      <c r="O69" s="171"/>
    </row>
    <row r="70" spans="1:16" ht="12.75" customHeight="1" x14ac:dyDescent="0.2">
      <c r="A70" s="167">
        <v>41913</v>
      </c>
      <c r="B70" s="168" t="s">
        <v>873</v>
      </c>
      <c r="C70" s="168" t="s">
        <v>13</v>
      </c>
      <c r="D70" s="168" t="s">
        <v>14</v>
      </c>
      <c r="E70" s="168"/>
      <c r="F70" s="168"/>
      <c r="G70" s="168"/>
      <c r="H70" s="169"/>
      <c r="I70" s="169"/>
      <c r="J70" s="169"/>
      <c r="K70" s="169"/>
      <c r="L70" s="169"/>
      <c r="M70" s="170"/>
      <c r="N70" s="170"/>
      <c r="O70" s="171"/>
    </row>
    <row r="71" spans="1:16" ht="12.75" customHeight="1" x14ac:dyDescent="0.2">
      <c r="A71" s="177"/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39"/>
  <sheetViews>
    <sheetView workbookViewId="0">
      <pane ySplit="1" topLeftCell="A2" activePane="bottomLeft" state="frozen"/>
      <selection pane="bottomLeft" activeCell="F70" sqref="F70"/>
    </sheetView>
  </sheetViews>
  <sheetFormatPr defaultColWidth="8.7109375" defaultRowHeight="12.75" customHeight="1" outlineLevelRow="2" x14ac:dyDescent="0.2"/>
  <cols>
    <col min="1" max="1" width="18.7109375" customWidth="1"/>
    <col min="2" max="2" width="15.5703125" bestFit="1" customWidth="1"/>
    <col min="3" max="3" width="14.85546875" customWidth="1"/>
    <col min="4" max="4" width="10.7109375" customWidth="1"/>
    <col min="5" max="5" width="14.85546875" bestFit="1" customWidth="1"/>
    <col min="6" max="6" width="6.140625" customWidth="1"/>
    <col min="7" max="7" width="9.7109375" customWidth="1"/>
  </cols>
  <sheetData>
    <row r="1" spans="1:8" ht="12.75" customHeight="1" x14ac:dyDescent="0.2">
      <c r="A1" s="39" t="s">
        <v>72</v>
      </c>
      <c r="B1" s="39" t="s">
        <v>73</v>
      </c>
      <c r="C1" s="39" t="s">
        <v>74</v>
      </c>
      <c r="D1" s="39" t="s">
        <v>75</v>
      </c>
      <c r="E1" s="39" t="s">
        <v>76</v>
      </c>
      <c r="F1" s="39" t="s">
        <v>77</v>
      </c>
      <c r="G1" s="39" t="s">
        <v>4</v>
      </c>
      <c r="H1" s="29"/>
    </row>
    <row r="2" spans="1:8" ht="12.75" hidden="1" customHeight="1" outlineLevel="2" x14ac:dyDescent="0.2">
      <c r="A2" s="29" t="s">
        <v>78</v>
      </c>
      <c r="B2" s="29" t="s">
        <v>79</v>
      </c>
      <c r="C2" s="29" t="s">
        <v>80</v>
      </c>
      <c r="D2" s="40">
        <v>41290</v>
      </c>
      <c r="E2" s="29" t="s">
        <v>81</v>
      </c>
      <c r="F2" s="29">
        <v>1</v>
      </c>
      <c r="G2" s="29"/>
      <c r="H2" s="29"/>
    </row>
    <row r="3" spans="1:8" ht="12.75" hidden="1" customHeight="1" outlineLevel="2" x14ac:dyDescent="0.2">
      <c r="A3" s="29" t="s">
        <v>82</v>
      </c>
      <c r="B3" s="29" t="s">
        <v>79</v>
      </c>
      <c r="C3" s="29" t="s">
        <v>80</v>
      </c>
      <c r="D3" s="40">
        <v>41290</v>
      </c>
      <c r="E3" s="29" t="s">
        <v>83</v>
      </c>
      <c r="F3" s="29">
        <v>1</v>
      </c>
      <c r="G3" s="42"/>
      <c r="H3" s="29"/>
    </row>
    <row r="4" spans="1:8" ht="12.75" hidden="1" customHeight="1" outlineLevel="2" x14ac:dyDescent="0.2">
      <c r="A4" s="29" t="s">
        <v>84</v>
      </c>
      <c r="B4" s="29" t="s">
        <v>79</v>
      </c>
      <c r="C4" s="29" t="s">
        <v>80</v>
      </c>
      <c r="D4" s="40">
        <v>41290</v>
      </c>
      <c r="E4" s="29" t="s">
        <v>83</v>
      </c>
      <c r="F4" s="29">
        <v>1</v>
      </c>
      <c r="G4" s="29"/>
      <c r="H4" s="29"/>
    </row>
    <row r="5" spans="1:8" ht="12.75" hidden="1" customHeight="1" outlineLevel="2" x14ac:dyDescent="0.2">
      <c r="A5" s="29" t="s">
        <v>86</v>
      </c>
      <c r="B5" s="29" t="s">
        <v>79</v>
      </c>
      <c r="C5" s="29" t="s">
        <v>80</v>
      </c>
      <c r="D5" s="40">
        <v>41290</v>
      </c>
      <c r="E5" s="29" t="s">
        <v>83</v>
      </c>
      <c r="F5" s="29">
        <v>1</v>
      </c>
      <c r="G5" s="29"/>
      <c r="H5" s="29"/>
    </row>
    <row r="6" spans="1:8" ht="12.75" hidden="1" customHeight="1" outlineLevel="2" x14ac:dyDescent="0.2">
      <c r="A6" s="29" t="s">
        <v>88</v>
      </c>
      <c r="B6" s="29" t="s">
        <v>79</v>
      </c>
      <c r="C6" s="29" t="s">
        <v>80</v>
      </c>
      <c r="D6" s="40">
        <v>41290</v>
      </c>
      <c r="E6" s="29" t="s">
        <v>83</v>
      </c>
      <c r="F6" s="29">
        <v>1</v>
      </c>
      <c r="G6" s="29"/>
      <c r="H6" s="29"/>
    </row>
    <row r="7" spans="1:8" ht="12.75" hidden="1" customHeight="1" outlineLevel="2" x14ac:dyDescent="0.2">
      <c r="A7" s="29" t="s">
        <v>89</v>
      </c>
      <c r="B7" s="29" t="s">
        <v>79</v>
      </c>
      <c r="C7" s="29" t="s">
        <v>80</v>
      </c>
      <c r="D7" s="40">
        <v>41290</v>
      </c>
      <c r="E7" s="29" t="s">
        <v>83</v>
      </c>
      <c r="F7" s="29">
        <v>1</v>
      </c>
      <c r="G7" s="29"/>
      <c r="H7" s="29"/>
    </row>
    <row r="8" spans="1:8" ht="12.75" hidden="1" customHeight="1" outlineLevel="2" x14ac:dyDescent="0.2">
      <c r="A8" s="29" t="s">
        <v>91</v>
      </c>
      <c r="B8" s="29" t="s">
        <v>79</v>
      </c>
      <c r="C8" s="29" t="s">
        <v>80</v>
      </c>
      <c r="D8" s="40">
        <v>41290</v>
      </c>
      <c r="E8" s="29" t="s">
        <v>83</v>
      </c>
      <c r="F8" s="29">
        <v>1</v>
      </c>
      <c r="G8" s="29"/>
      <c r="H8" s="29"/>
    </row>
    <row r="9" spans="1:8" ht="12.75" hidden="1" customHeight="1" outlineLevel="2" x14ac:dyDescent="0.2">
      <c r="A9" s="29" t="s">
        <v>78</v>
      </c>
      <c r="B9" s="29" t="s">
        <v>92</v>
      </c>
      <c r="C9" s="29" t="s">
        <v>80</v>
      </c>
      <c r="D9" s="40">
        <v>41325</v>
      </c>
      <c r="E9" s="29" t="s">
        <v>81</v>
      </c>
      <c r="F9" s="29">
        <v>1</v>
      </c>
      <c r="G9" s="29"/>
      <c r="H9" s="29"/>
    </row>
    <row r="10" spans="1:8" ht="12.75" hidden="1" customHeight="1" outlineLevel="2" x14ac:dyDescent="0.2">
      <c r="A10" s="29" t="s">
        <v>93</v>
      </c>
      <c r="B10" s="29" t="s">
        <v>94</v>
      </c>
      <c r="C10" s="29" t="s">
        <v>80</v>
      </c>
      <c r="D10" s="40">
        <v>41325</v>
      </c>
      <c r="E10" s="29" t="s">
        <v>83</v>
      </c>
      <c r="F10" s="29">
        <v>1</v>
      </c>
      <c r="G10" s="29"/>
      <c r="H10" s="29"/>
    </row>
    <row r="11" spans="1:8" ht="12.75" hidden="1" customHeight="1" outlineLevel="2" x14ac:dyDescent="0.2">
      <c r="A11" s="29" t="s">
        <v>95</v>
      </c>
      <c r="B11" s="29" t="s">
        <v>94</v>
      </c>
      <c r="C11" s="29" t="s">
        <v>80</v>
      </c>
      <c r="D11" s="40">
        <v>41325</v>
      </c>
      <c r="E11" s="29" t="s">
        <v>83</v>
      </c>
      <c r="F11" s="29">
        <v>1</v>
      </c>
      <c r="G11" s="29"/>
      <c r="H11" s="29"/>
    </row>
    <row r="12" spans="1:8" ht="12.75" hidden="1" customHeight="1" outlineLevel="2" x14ac:dyDescent="0.2">
      <c r="A12" s="29" t="s">
        <v>96</v>
      </c>
      <c r="B12" s="29" t="s">
        <v>94</v>
      </c>
      <c r="C12" s="29" t="s">
        <v>80</v>
      </c>
      <c r="D12" s="40">
        <v>41325</v>
      </c>
      <c r="E12" s="29" t="s">
        <v>83</v>
      </c>
      <c r="F12" s="29">
        <v>1</v>
      </c>
      <c r="G12" s="29"/>
      <c r="H12" s="29"/>
    </row>
    <row r="13" spans="1:8" ht="12.75" hidden="1" customHeight="1" outlineLevel="2" x14ac:dyDescent="0.2">
      <c r="A13" s="29" t="s">
        <v>91</v>
      </c>
      <c r="B13" s="29" t="s">
        <v>94</v>
      </c>
      <c r="C13" s="29" t="s">
        <v>80</v>
      </c>
      <c r="D13" s="40">
        <v>41325</v>
      </c>
      <c r="E13" s="29" t="s">
        <v>83</v>
      </c>
      <c r="F13" s="29">
        <v>1</v>
      </c>
      <c r="G13" s="29"/>
      <c r="H13" s="29"/>
    </row>
    <row r="14" spans="1:8" ht="12.75" hidden="1" customHeight="1" outlineLevel="2" x14ac:dyDescent="0.2">
      <c r="A14" s="29" t="s">
        <v>88</v>
      </c>
      <c r="B14" s="29" t="s">
        <v>94</v>
      </c>
      <c r="C14" s="29" t="s">
        <v>80</v>
      </c>
      <c r="D14" s="40">
        <v>41325</v>
      </c>
      <c r="E14" s="29" t="s">
        <v>83</v>
      </c>
      <c r="F14" s="29">
        <v>1</v>
      </c>
      <c r="G14" s="29"/>
      <c r="H14" s="29"/>
    </row>
    <row r="15" spans="1:8" ht="12.75" hidden="1" customHeight="1" outlineLevel="2" x14ac:dyDescent="0.2">
      <c r="A15" s="29" t="s">
        <v>97</v>
      </c>
      <c r="B15" s="29" t="s">
        <v>94</v>
      </c>
      <c r="C15" s="29" t="s">
        <v>80</v>
      </c>
      <c r="D15" s="40">
        <v>41325</v>
      </c>
      <c r="E15" s="29" t="s">
        <v>83</v>
      </c>
      <c r="F15" s="29">
        <v>1</v>
      </c>
      <c r="G15" s="29"/>
      <c r="H15" s="29"/>
    </row>
    <row r="16" spans="1:8" s="105" customFormat="1" ht="12.75" hidden="1" customHeight="1" outlineLevel="2" x14ac:dyDescent="0.2">
      <c r="A16" s="103"/>
      <c r="B16" s="103"/>
      <c r="C16" s="103"/>
      <c r="D16" s="104"/>
      <c r="E16" s="103"/>
      <c r="F16" s="103"/>
      <c r="G16" s="103"/>
      <c r="H16" s="103"/>
    </row>
    <row r="17" spans="1:8" ht="12.75" hidden="1" customHeight="1" outlineLevel="1" collapsed="1" x14ac:dyDescent="0.2">
      <c r="A17" s="12" t="s">
        <v>13</v>
      </c>
      <c r="B17" s="12" t="s">
        <v>98</v>
      </c>
      <c r="C17" s="12" t="s">
        <v>85</v>
      </c>
      <c r="D17" s="40">
        <v>41416</v>
      </c>
      <c r="E17" s="12" t="s">
        <v>14</v>
      </c>
      <c r="F17" s="29">
        <v>2</v>
      </c>
      <c r="G17" s="29"/>
      <c r="H17" s="29"/>
    </row>
    <row r="18" spans="1:8" ht="12.75" hidden="1" customHeight="1" outlineLevel="1" x14ac:dyDescent="0.2">
      <c r="A18" s="12" t="s">
        <v>99</v>
      </c>
      <c r="B18" s="12" t="s">
        <v>98</v>
      </c>
      <c r="C18" s="12" t="s">
        <v>85</v>
      </c>
      <c r="D18" s="40">
        <v>41416</v>
      </c>
      <c r="E18" s="12" t="s">
        <v>90</v>
      </c>
      <c r="F18" s="29">
        <v>2</v>
      </c>
      <c r="G18" s="29"/>
      <c r="H18" s="29"/>
    </row>
    <row r="19" spans="1:8" ht="12.75" hidden="1" customHeight="1" outlineLevel="1" x14ac:dyDescent="0.2">
      <c r="A19" s="12" t="s">
        <v>100</v>
      </c>
      <c r="B19" s="12" t="s">
        <v>98</v>
      </c>
      <c r="C19" s="12" t="s">
        <v>85</v>
      </c>
      <c r="D19" s="40">
        <v>41416</v>
      </c>
      <c r="E19" s="12" t="s">
        <v>90</v>
      </c>
      <c r="F19" s="29">
        <v>2</v>
      </c>
      <c r="G19" s="29"/>
      <c r="H19" s="29"/>
    </row>
    <row r="20" spans="1:8" ht="12.75" hidden="1" customHeight="1" outlineLevel="1" x14ac:dyDescent="0.2">
      <c r="A20" s="12" t="s">
        <v>13</v>
      </c>
      <c r="B20" s="12" t="s">
        <v>98</v>
      </c>
      <c r="C20" s="12" t="s">
        <v>85</v>
      </c>
      <c r="D20" s="40">
        <v>41423</v>
      </c>
      <c r="E20" s="12" t="s">
        <v>14</v>
      </c>
      <c r="F20" s="29">
        <v>3</v>
      </c>
      <c r="G20" s="29"/>
      <c r="H20" s="29"/>
    </row>
    <row r="21" spans="1:8" ht="12.75" hidden="1" customHeight="1" outlineLevel="1" x14ac:dyDescent="0.2">
      <c r="A21" s="12" t="s">
        <v>100</v>
      </c>
      <c r="B21" s="12" t="s">
        <v>98</v>
      </c>
      <c r="C21" s="12" t="s">
        <v>85</v>
      </c>
      <c r="D21" s="40">
        <v>41423</v>
      </c>
      <c r="E21" s="12" t="s">
        <v>90</v>
      </c>
      <c r="F21" s="29">
        <v>3</v>
      </c>
      <c r="G21" s="29"/>
      <c r="H21" s="29"/>
    </row>
    <row r="22" spans="1:8" ht="12.75" hidden="1" customHeight="1" outlineLevel="1" x14ac:dyDescent="0.2">
      <c r="A22" s="12" t="s">
        <v>101</v>
      </c>
      <c r="B22" s="12" t="s">
        <v>98</v>
      </c>
      <c r="C22" s="12" t="s">
        <v>85</v>
      </c>
      <c r="D22" s="40">
        <v>41423</v>
      </c>
      <c r="E22" s="12" t="s">
        <v>90</v>
      </c>
      <c r="F22" s="29">
        <v>3</v>
      </c>
      <c r="G22" s="29"/>
      <c r="H22" s="29"/>
    </row>
    <row r="23" spans="1:8" ht="12.75" hidden="1" customHeight="1" outlineLevel="1" x14ac:dyDescent="0.2">
      <c r="A23" s="15" t="s">
        <v>25</v>
      </c>
      <c r="B23" s="12" t="s">
        <v>98</v>
      </c>
      <c r="C23" s="12" t="s">
        <v>85</v>
      </c>
      <c r="D23" s="40">
        <v>41430</v>
      </c>
      <c r="E23" s="12" t="s">
        <v>14</v>
      </c>
      <c r="F23" s="29">
        <v>3</v>
      </c>
      <c r="G23" s="29"/>
      <c r="H23" s="29"/>
    </row>
    <row r="24" spans="1:8" ht="12.75" hidden="1" customHeight="1" outlineLevel="1" x14ac:dyDescent="0.2">
      <c r="A24" s="12" t="s">
        <v>102</v>
      </c>
      <c r="B24" s="12" t="s">
        <v>98</v>
      </c>
      <c r="C24" s="12" t="s">
        <v>85</v>
      </c>
      <c r="D24" s="40">
        <v>41430</v>
      </c>
      <c r="E24" s="12" t="s">
        <v>90</v>
      </c>
      <c r="F24" s="29">
        <v>3</v>
      </c>
      <c r="G24" s="29"/>
      <c r="H24" s="29"/>
    </row>
    <row r="25" spans="1:8" ht="12.75" hidden="1" customHeight="1" outlineLevel="1" x14ac:dyDescent="0.2">
      <c r="A25" s="15" t="s">
        <v>25</v>
      </c>
      <c r="B25" s="15" t="s">
        <v>98</v>
      </c>
      <c r="C25" s="15" t="s">
        <v>85</v>
      </c>
      <c r="D25" s="40">
        <v>41437</v>
      </c>
      <c r="E25" s="15" t="s">
        <v>14</v>
      </c>
      <c r="F25" s="29">
        <v>3</v>
      </c>
      <c r="G25" s="29"/>
      <c r="H25" s="29"/>
    </row>
    <row r="26" spans="1:8" ht="12.75" hidden="1" customHeight="1" outlineLevel="1" x14ac:dyDescent="0.2">
      <c r="A26" s="15" t="s">
        <v>70</v>
      </c>
      <c r="B26" s="12" t="s">
        <v>98</v>
      </c>
      <c r="C26" s="12" t="s">
        <v>85</v>
      </c>
      <c r="D26" s="40">
        <v>41437</v>
      </c>
      <c r="E26" s="12" t="s">
        <v>90</v>
      </c>
      <c r="F26" s="29">
        <v>3</v>
      </c>
      <c r="G26" s="29"/>
      <c r="H26" s="29"/>
    </row>
    <row r="27" spans="1:8" ht="12.75" hidden="1" customHeight="1" outlineLevel="1" x14ac:dyDescent="0.2">
      <c r="A27" s="12" t="s">
        <v>7</v>
      </c>
      <c r="B27" s="12" t="s">
        <v>98</v>
      </c>
      <c r="C27" s="12" t="s">
        <v>85</v>
      </c>
      <c r="D27" s="40">
        <v>41444</v>
      </c>
      <c r="E27" s="12" t="s">
        <v>14</v>
      </c>
      <c r="F27" s="29">
        <v>3</v>
      </c>
      <c r="G27" s="29"/>
      <c r="H27" s="29"/>
    </row>
    <row r="28" spans="1:8" ht="12.75" hidden="1" customHeight="1" outlineLevel="1" x14ac:dyDescent="0.2">
      <c r="A28" s="12" t="s">
        <v>34</v>
      </c>
      <c r="B28" s="12" t="s">
        <v>98</v>
      </c>
      <c r="C28" s="12" t="s">
        <v>85</v>
      </c>
      <c r="D28" s="40">
        <v>41444</v>
      </c>
      <c r="E28" s="12" t="s">
        <v>90</v>
      </c>
      <c r="F28" s="29">
        <v>3</v>
      </c>
      <c r="G28" s="29"/>
      <c r="H28" s="29"/>
    </row>
    <row r="29" spans="1:8" ht="12.75" hidden="1" customHeight="1" outlineLevel="1" x14ac:dyDescent="0.2">
      <c r="A29" s="29" t="s">
        <v>7</v>
      </c>
      <c r="B29" s="29" t="s">
        <v>98</v>
      </c>
      <c r="C29" s="29" t="s">
        <v>85</v>
      </c>
      <c r="D29" s="40">
        <v>41451</v>
      </c>
      <c r="E29" s="29" t="s">
        <v>14</v>
      </c>
      <c r="F29" s="29">
        <v>3</v>
      </c>
      <c r="G29" s="29"/>
      <c r="H29" s="29"/>
    </row>
    <row r="30" spans="1:8" ht="12.75" hidden="1" customHeight="1" outlineLevel="1" x14ac:dyDescent="0.2">
      <c r="A30" s="29" t="s">
        <v>101</v>
      </c>
      <c r="B30" s="29" t="s">
        <v>98</v>
      </c>
      <c r="C30" s="29" t="s">
        <v>85</v>
      </c>
      <c r="D30" s="40">
        <v>41451</v>
      </c>
      <c r="E30" s="29" t="s">
        <v>90</v>
      </c>
      <c r="F30" s="29">
        <v>3</v>
      </c>
      <c r="G30" s="29"/>
      <c r="H30" s="29"/>
    </row>
    <row r="31" spans="1:8" ht="12.75" hidden="1" customHeight="1" outlineLevel="1" x14ac:dyDescent="0.2">
      <c r="A31" s="15" t="s">
        <v>6</v>
      </c>
      <c r="B31" s="15" t="s">
        <v>98</v>
      </c>
      <c r="C31" s="15" t="s">
        <v>85</v>
      </c>
      <c r="D31" s="40">
        <v>41458</v>
      </c>
      <c r="E31" s="15" t="s">
        <v>14</v>
      </c>
      <c r="F31" s="29">
        <v>3</v>
      </c>
      <c r="G31" s="29"/>
      <c r="H31" s="29"/>
    </row>
    <row r="32" spans="1:8" ht="12.75" hidden="1" customHeight="1" outlineLevel="1" x14ac:dyDescent="0.2">
      <c r="A32" s="74" t="s">
        <v>103</v>
      </c>
      <c r="B32" s="15" t="s">
        <v>98</v>
      </c>
      <c r="C32" s="15" t="s">
        <v>85</v>
      </c>
      <c r="D32" s="40">
        <v>41458</v>
      </c>
      <c r="E32" s="15" t="s">
        <v>90</v>
      </c>
      <c r="F32" s="29">
        <v>0</v>
      </c>
      <c r="G32" s="29"/>
      <c r="H32" s="29"/>
    </row>
    <row r="33" spans="1:8" ht="12.75" hidden="1" customHeight="1" outlineLevel="1" x14ac:dyDescent="0.2">
      <c r="A33" s="12" t="s">
        <v>6</v>
      </c>
      <c r="B33" s="12" t="s">
        <v>98</v>
      </c>
      <c r="C33" s="12" t="s">
        <v>85</v>
      </c>
      <c r="D33" s="40">
        <v>41465</v>
      </c>
      <c r="E33" s="12" t="s">
        <v>14</v>
      </c>
      <c r="F33" s="29">
        <v>3</v>
      </c>
      <c r="G33" s="29"/>
      <c r="H33" s="29"/>
    </row>
    <row r="34" spans="1:8" ht="12.75" hidden="1" customHeight="1" outlineLevel="1" x14ac:dyDescent="0.2">
      <c r="A34" s="12" t="s">
        <v>241</v>
      </c>
      <c r="B34" s="12" t="s">
        <v>98</v>
      </c>
      <c r="C34" s="12" t="s">
        <v>85</v>
      </c>
      <c r="D34" s="40">
        <v>41465</v>
      </c>
      <c r="E34" s="12" t="s">
        <v>90</v>
      </c>
      <c r="F34" s="29">
        <v>3</v>
      </c>
      <c r="G34" s="29"/>
      <c r="H34" s="29"/>
    </row>
    <row r="35" spans="1:8" ht="12.75" hidden="1" customHeight="1" outlineLevel="1" x14ac:dyDescent="0.2">
      <c r="A35" s="12" t="s">
        <v>9</v>
      </c>
      <c r="B35" s="12" t="s">
        <v>98</v>
      </c>
      <c r="C35" s="12" t="s">
        <v>85</v>
      </c>
      <c r="D35" s="40">
        <v>41472</v>
      </c>
      <c r="E35" s="12" t="s">
        <v>14</v>
      </c>
      <c r="F35" s="29">
        <v>3</v>
      </c>
      <c r="G35" s="29"/>
      <c r="H35" s="29"/>
    </row>
    <row r="36" spans="1:8" ht="12.75" hidden="1" customHeight="1" outlineLevel="1" x14ac:dyDescent="0.2">
      <c r="A36" s="12" t="s">
        <v>9</v>
      </c>
      <c r="B36" s="12" t="s">
        <v>98</v>
      </c>
      <c r="C36" s="12" t="s">
        <v>85</v>
      </c>
      <c r="D36" s="40">
        <v>41472</v>
      </c>
      <c r="E36" s="12" t="s">
        <v>90</v>
      </c>
      <c r="F36" s="29">
        <v>3</v>
      </c>
      <c r="G36" s="29"/>
      <c r="H36" s="29"/>
    </row>
    <row r="37" spans="1:8" ht="12.75" hidden="1" customHeight="1" outlineLevel="1" x14ac:dyDescent="0.2">
      <c r="A37" s="12" t="s">
        <v>9</v>
      </c>
      <c r="B37" s="12" t="s">
        <v>98</v>
      </c>
      <c r="C37" s="12" t="s">
        <v>85</v>
      </c>
      <c r="D37" s="40">
        <v>41479</v>
      </c>
      <c r="E37" s="12" t="s">
        <v>14</v>
      </c>
      <c r="F37" s="29">
        <v>3</v>
      </c>
      <c r="G37" s="29"/>
      <c r="H37" s="29"/>
    </row>
    <row r="38" spans="1:8" s="11" customFormat="1" ht="12.75" hidden="1" customHeight="1" outlineLevel="1" x14ac:dyDescent="0.2">
      <c r="A38" s="83" t="s">
        <v>223</v>
      </c>
      <c r="B38" s="84" t="s">
        <v>98</v>
      </c>
      <c r="C38" s="84" t="s">
        <v>85</v>
      </c>
      <c r="D38" s="43">
        <v>41479</v>
      </c>
      <c r="E38" s="84" t="s">
        <v>90</v>
      </c>
      <c r="F38" s="33">
        <v>3</v>
      </c>
      <c r="G38" s="33"/>
      <c r="H38" s="33"/>
    </row>
    <row r="39" spans="1:8" ht="12.75" hidden="1" customHeight="1" outlineLevel="1" x14ac:dyDescent="0.2">
      <c r="A39" s="12" t="s">
        <v>13</v>
      </c>
      <c r="B39" s="12" t="s">
        <v>265</v>
      </c>
      <c r="C39" s="12" t="s">
        <v>87</v>
      </c>
      <c r="D39" s="40">
        <v>41482</v>
      </c>
      <c r="E39" s="12" t="s">
        <v>14</v>
      </c>
      <c r="F39" s="29">
        <v>6</v>
      </c>
      <c r="G39" s="29"/>
      <c r="H39" s="29"/>
    </row>
    <row r="40" spans="1:8" ht="12.75" hidden="1" customHeight="1" outlineLevel="1" x14ac:dyDescent="0.2">
      <c r="A40" s="12" t="s">
        <v>15</v>
      </c>
      <c r="B40" s="12" t="s">
        <v>265</v>
      </c>
      <c r="C40" s="12" t="s">
        <v>87</v>
      </c>
      <c r="D40" s="40">
        <v>41482</v>
      </c>
      <c r="E40" s="12" t="s">
        <v>90</v>
      </c>
      <c r="F40" s="29">
        <v>6</v>
      </c>
      <c r="G40" s="29"/>
      <c r="H40" s="29"/>
    </row>
    <row r="41" spans="1:8" ht="12.75" hidden="1" customHeight="1" outlineLevel="1" x14ac:dyDescent="0.2">
      <c r="A41" s="12" t="s">
        <v>50</v>
      </c>
      <c r="B41" s="12" t="s">
        <v>265</v>
      </c>
      <c r="C41" s="12" t="s">
        <v>87</v>
      </c>
      <c r="D41" s="40">
        <v>41482</v>
      </c>
      <c r="E41" s="12" t="s">
        <v>90</v>
      </c>
      <c r="F41" s="29">
        <v>6</v>
      </c>
      <c r="G41" s="29"/>
      <c r="H41" s="29"/>
    </row>
    <row r="42" spans="1:8" ht="12.75" hidden="1" customHeight="1" outlineLevel="1" x14ac:dyDescent="0.2">
      <c r="A42" s="12" t="s">
        <v>252</v>
      </c>
      <c r="B42" s="12" t="s">
        <v>265</v>
      </c>
      <c r="C42" s="12" t="s">
        <v>87</v>
      </c>
      <c r="D42" s="40">
        <v>41482</v>
      </c>
      <c r="E42" s="12" t="s">
        <v>90</v>
      </c>
      <c r="F42" s="29">
        <v>6</v>
      </c>
      <c r="G42" s="29"/>
      <c r="H42" s="29"/>
    </row>
    <row r="43" spans="1:8" ht="12.75" hidden="1" customHeight="1" outlineLevel="1" x14ac:dyDescent="0.2">
      <c r="A43" s="12" t="s">
        <v>7</v>
      </c>
      <c r="B43" s="12" t="s">
        <v>265</v>
      </c>
      <c r="C43" s="12" t="s">
        <v>87</v>
      </c>
      <c r="D43" s="40">
        <v>41482</v>
      </c>
      <c r="E43" s="12" t="s">
        <v>54</v>
      </c>
      <c r="F43" s="29">
        <v>6</v>
      </c>
      <c r="G43" s="29"/>
      <c r="H43" s="29"/>
    </row>
    <row r="44" spans="1:8" s="11" customFormat="1" ht="12.75" hidden="1" customHeight="1" outlineLevel="1" x14ac:dyDescent="0.2">
      <c r="A44" s="84" t="s">
        <v>248</v>
      </c>
      <c r="B44" s="84" t="s">
        <v>265</v>
      </c>
      <c r="C44" s="84" t="s">
        <v>87</v>
      </c>
      <c r="D44" s="43">
        <v>41482</v>
      </c>
      <c r="E44" s="84" t="s">
        <v>55</v>
      </c>
      <c r="F44" s="33">
        <v>6</v>
      </c>
      <c r="G44" s="33"/>
      <c r="H44" s="33"/>
    </row>
    <row r="45" spans="1:8" ht="12.75" hidden="1" customHeight="1" outlineLevel="1" x14ac:dyDescent="0.2">
      <c r="A45" s="12" t="s">
        <v>57</v>
      </c>
      <c r="B45" s="12" t="s">
        <v>269</v>
      </c>
      <c r="C45" s="12" t="s">
        <v>85</v>
      </c>
      <c r="D45" s="40">
        <v>41486</v>
      </c>
      <c r="E45" s="12" t="s">
        <v>14</v>
      </c>
      <c r="F45" s="29">
        <v>3</v>
      </c>
      <c r="G45" s="29"/>
      <c r="H45" s="29"/>
    </row>
    <row r="46" spans="1:8" ht="12.75" hidden="1" customHeight="1" outlineLevel="1" x14ac:dyDescent="0.2">
      <c r="A46" s="12" t="s">
        <v>270</v>
      </c>
      <c r="B46" s="12" t="s">
        <v>269</v>
      </c>
      <c r="C46" s="12" t="s">
        <v>85</v>
      </c>
      <c r="D46" s="40">
        <v>41486</v>
      </c>
      <c r="E46" s="12" t="s">
        <v>90</v>
      </c>
      <c r="F46" s="29">
        <v>3</v>
      </c>
      <c r="G46" s="29"/>
      <c r="H46" s="29"/>
    </row>
    <row r="47" spans="1:8" ht="12.75" hidden="1" customHeight="1" outlineLevel="1" x14ac:dyDescent="0.2">
      <c r="A47" s="12" t="s">
        <v>6</v>
      </c>
      <c r="B47" s="12" t="s">
        <v>269</v>
      </c>
      <c r="C47" s="12" t="s">
        <v>85</v>
      </c>
      <c r="D47" s="40">
        <v>41493</v>
      </c>
      <c r="E47" s="12" t="s">
        <v>14</v>
      </c>
      <c r="F47" s="29">
        <v>3</v>
      </c>
      <c r="G47" s="29"/>
      <c r="H47" s="29"/>
    </row>
    <row r="48" spans="1:8" ht="12.75" hidden="1" customHeight="1" outlineLevel="1" x14ac:dyDescent="0.2">
      <c r="A48" s="12" t="s">
        <v>274</v>
      </c>
      <c r="B48" s="12" t="s">
        <v>269</v>
      </c>
      <c r="C48" s="12" t="s">
        <v>85</v>
      </c>
      <c r="D48" s="40">
        <v>41493</v>
      </c>
      <c r="E48" s="12" t="s">
        <v>90</v>
      </c>
      <c r="F48" s="29">
        <v>3</v>
      </c>
      <c r="G48" s="29"/>
      <c r="H48" s="29"/>
    </row>
    <row r="49" spans="1:8" ht="12.75" hidden="1" customHeight="1" outlineLevel="1" x14ac:dyDescent="0.2">
      <c r="A49" s="12" t="s">
        <v>46</v>
      </c>
      <c r="B49" s="12" t="s">
        <v>269</v>
      </c>
      <c r="C49" s="12" t="s">
        <v>85</v>
      </c>
      <c r="D49" s="40">
        <v>41500</v>
      </c>
      <c r="E49" s="12" t="s">
        <v>14</v>
      </c>
      <c r="F49" s="29">
        <v>3</v>
      </c>
      <c r="G49" s="29"/>
      <c r="H49" s="29"/>
    </row>
    <row r="50" spans="1:8" ht="12.75" hidden="1" customHeight="1" outlineLevel="1" x14ac:dyDescent="0.2">
      <c r="A50" s="12" t="s">
        <v>279</v>
      </c>
      <c r="B50" s="12" t="s">
        <v>269</v>
      </c>
      <c r="C50" s="12" t="s">
        <v>85</v>
      </c>
      <c r="D50" s="40">
        <v>41500</v>
      </c>
      <c r="E50" s="12" t="s">
        <v>90</v>
      </c>
      <c r="F50" s="29">
        <v>3</v>
      </c>
      <c r="G50" s="29"/>
      <c r="H50" s="29"/>
    </row>
    <row r="51" spans="1:8" ht="12.75" hidden="1" customHeight="1" outlineLevel="1" x14ac:dyDescent="0.2">
      <c r="A51" s="12" t="s">
        <v>46</v>
      </c>
      <c r="B51" s="12" t="s">
        <v>269</v>
      </c>
      <c r="C51" s="12" t="s">
        <v>85</v>
      </c>
      <c r="D51" s="40">
        <v>41507</v>
      </c>
      <c r="E51" s="12" t="s">
        <v>14</v>
      </c>
      <c r="F51" s="29">
        <v>3</v>
      </c>
      <c r="G51" s="29"/>
      <c r="H51" s="29"/>
    </row>
    <row r="52" spans="1:8" ht="12.75" hidden="1" customHeight="1" outlineLevel="1" x14ac:dyDescent="0.2">
      <c r="A52" s="12" t="s">
        <v>278</v>
      </c>
      <c r="B52" s="12" t="s">
        <v>269</v>
      </c>
      <c r="C52" s="12" t="s">
        <v>85</v>
      </c>
      <c r="D52" s="40">
        <v>41507</v>
      </c>
      <c r="E52" s="12" t="s">
        <v>90</v>
      </c>
      <c r="F52" s="29">
        <v>3</v>
      </c>
      <c r="G52" s="29"/>
      <c r="H52" s="29"/>
    </row>
    <row r="53" spans="1:8" ht="12.75" hidden="1" customHeight="1" outlineLevel="1" x14ac:dyDescent="0.2">
      <c r="A53" s="12" t="s">
        <v>25</v>
      </c>
      <c r="B53" s="12" t="s">
        <v>269</v>
      </c>
      <c r="C53" s="12" t="s">
        <v>85</v>
      </c>
      <c r="D53" s="40">
        <v>41514</v>
      </c>
      <c r="E53" s="12" t="s">
        <v>14</v>
      </c>
      <c r="F53" s="29">
        <v>2</v>
      </c>
      <c r="G53" s="29"/>
      <c r="H53" s="29"/>
    </row>
    <row r="54" spans="1:8" ht="12.75" hidden="1" customHeight="1" outlineLevel="1" x14ac:dyDescent="0.2">
      <c r="A54" s="12" t="s">
        <v>70</v>
      </c>
      <c r="B54" s="12" t="s">
        <v>269</v>
      </c>
      <c r="C54" s="12" t="s">
        <v>85</v>
      </c>
      <c r="D54" s="40">
        <v>41514</v>
      </c>
      <c r="E54" s="12" t="s">
        <v>90</v>
      </c>
      <c r="F54" s="29">
        <v>2</v>
      </c>
      <c r="G54" s="29"/>
      <c r="H54" s="29"/>
    </row>
    <row r="55" spans="1:8" ht="12.75" hidden="1" customHeight="1" outlineLevel="1" x14ac:dyDescent="0.2">
      <c r="A55" s="12" t="s">
        <v>25</v>
      </c>
      <c r="B55" s="12" t="s">
        <v>269</v>
      </c>
      <c r="C55" s="12" t="s">
        <v>85</v>
      </c>
      <c r="D55" s="40">
        <v>41521</v>
      </c>
      <c r="E55" s="12" t="s">
        <v>14</v>
      </c>
      <c r="F55" s="29">
        <v>3</v>
      </c>
      <c r="G55" s="29"/>
      <c r="H55" s="29"/>
    </row>
    <row r="56" spans="1:8" ht="12.75" hidden="1" customHeight="1" outlineLevel="1" x14ac:dyDescent="0.2">
      <c r="A56" s="12" t="s">
        <v>285</v>
      </c>
      <c r="B56" s="12" t="s">
        <v>269</v>
      </c>
      <c r="C56" s="12" t="s">
        <v>85</v>
      </c>
      <c r="D56" s="40">
        <v>41521</v>
      </c>
      <c r="E56" s="12" t="s">
        <v>90</v>
      </c>
      <c r="F56" s="29">
        <v>3</v>
      </c>
      <c r="G56" s="29"/>
      <c r="H56" s="29"/>
    </row>
    <row r="57" spans="1:8" ht="12.75" hidden="1" customHeight="1" outlineLevel="1" x14ac:dyDescent="0.2">
      <c r="A57" s="12" t="s">
        <v>33</v>
      </c>
      <c r="B57" s="12" t="s">
        <v>269</v>
      </c>
      <c r="C57" s="12" t="s">
        <v>85</v>
      </c>
      <c r="D57" s="40">
        <v>41528</v>
      </c>
      <c r="E57" s="12" t="s">
        <v>14</v>
      </c>
      <c r="F57" s="29">
        <v>3</v>
      </c>
      <c r="G57" s="29"/>
      <c r="H57" s="29"/>
    </row>
    <row r="58" spans="1:8" ht="12.75" hidden="1" customHeight="1" outlineLevel="1" x14ac:dyDescent="0.2">
      <c r="A58" s="15" t="s">
        <v>99</v>
      </c>
      <c r="B58" s="12" t="s">
        <v>269</v>
      </c>
      <c r="C58" s="12" t="s">
        <v>85</v>
      </c>
      <c r="D58" s="40">
        <v>41528</v>
      </c>
      <c r="E58" s="12" t="s">
        <v>90</v>
      </c>
      <c r="F58" s="29">
        <v>3</v>
      </c>
      <c r="G58" s="29"/>
      <c r="H58" s="29"/>
    </row>
    <row r="59" spans="1:8" s="95" customFormat="1" ht="12.75" hidden="1" customHeight="1" outlineLevel="1" x14ac:dyDescent="0.2">
      <c r="A59" s="94" t="s">
        <v>25</v>
      </c>
      <c r="B59" s="94" t="s">
        <v>65</v>
      </c>
      <c r="C59" s="94" t="s">
        <v>87</v>
      </c>
      <c r="D59" s="45">
        <v>41531</v>
      </c>
      <c r="E59" s="94" t="s">
        <v>14</v>
      </c>
      <c r="F59" s="27">
        <v>15</v>
      </c>
      <c r="G59" s="27"/>
      <c r="H59" s="27"/>
    </row>
    <row r="60" spans="1:8" ht="12.75" hidden="1" customHeight="1" outlineLevel="1" x14ac:dyDescent="0.2">
      <c r="A60" s="15" t="s">
        <v>13</v>
      </c>
      <c r="B60" s="15" t="s">
        <v>65</v>
      </c>
      <c r="C60" s="15" t="s">
        <v>87</v>
      </c>
      <c r="D60" s="40">
        <v>41531</v>
      </c>
      <c r="E60" s="15" t="s">
        <v>54</v>
      </c>
      <c r="F60" s="29">
        <v>15</v>
      </c>
      <c r="G60" s="29"/>
      <c r="H60" s="29"/>
    </row>
    <row r="61" spans="1:8" ht="12.75" hidden="1" customHeight="1" outlineLevel="1" x14ac:dyDescent="0.2">
      <c r="A61" s="15" t="s">
        <v>15</v>
      </c>
      <c r="B61" s="15" t="s">
        <v>65</v>
      </c>
      <c r="C61" s="15" t="s">
        <v>87</v>
      </c>
      <c r="D61" s="40">
        <v>41531</v>
      </c>
      <c r="E61" s="15" t="s">
        <v>55</v>
      </c>
      <c r="F61" s="29">
        <v>15</v>
      </c>
      <c r="G61" s="29"/>
      <c r="H61" s="29"/>
    </row>
    <row r="62" spans="1:8" s="11" customFormat="1" ht="12.75" hidden="1" customHeight="1" outlineLevel="1" x14ac:dyDescent="0.2">
      <c r="A62" s="96" t="s">
        <v>50</v>
      </c>
      <c r="B62" s="96" t="s">
        <v>65</v>
      </c>
      <c r="C62" s="96" t="s">
        <v>87</v>
      </c>
      <c r="D62" s="43">
        <v>41531</v>
      </c>
      <c r="E62" s="96" t="s">
        <v>55</v>
      </c>
      <c r="F62" s="33">
        <v>15</v>
      </c>
      <c r="G62" s="33"/>
      <c r="H62" s="33"/>
    </row>
    <row r="63" spans="1:8" ht="12.75" hidden="1" customHeight="1" outlineLevel="1" x14ac:dyDescent="0.2">
      <c r="A63" s="12" t="s">
        <v>33</v>
      </c>
      <c r="B63" s="12" t="s">
        <v>269</v>
      </c>
      <c r="C63" s="12" t="s">
        <v>85</v>
      </c>
      <c r="D63" s="40">
        <v>41535</v>
      </c>
      <c r="E63" s="12" t="s">
        <v>14</v>
      </c>
      <c r="F63" s="29">
        <v>3</v>
      </c>
      <c r="G63" s="29"/>
      <c r="H63" s="29"/>
    </row>
    <row r="64" spans="1:8" ht="12.75" hidden="1" customHeight="1" outlineLevel="1" x14ac:dyDescent="0.2">
      <c r="A64" s="12" t="s">
        <v>223</v>
      </c>
      <c r="B64" s="12" t="s">
        <v>269</v>
      </c>
      <c r="C64" s="12" t="s">
        <v>85</v>
      </c>
      <c r="D64" s="40">
        <v>41535</v>
      </c>
      <c r="E64" s="12" t="s">
        <v>90</v>
      </c>
      <c r="F64" s="29">
        <v>3</v>
      </c>
      <c r="G64" s="29"/>
      <c r="H64" s="29"/>
    </row>
    <row r="65" spans="1:8" ht="12.75" hidden="1" customHeight="1" outlineLevel="1" x14ac:dyDescent="0.2">
      <c r="A65" s="12" t="s">
        <v>13</v>
      </c>
      <c r="B65" s="12" t="s">
        <v>269</v>
      </c>
      <c r="C65" s="12" t="s">
        <v>85</v>
      </c>
      <c r="D65" s="40">
        <v>41542</v>
      </c>
      <c r="E65" s="12" t="s">
        <v>14</v>
      </c>
      <c r="F65" s="29">
        <v>3</v>
      </c>
      <c r="G65" s="29"/>
      <c r="H65" s="29"/>
    </row>
    <row r="66" spans="1:8" ht="12.75" hidden="1" customHeight="1" outlineLevel="1" x14ac:dyDescent="0.2">
      <c r="A66" s="12" t="s">
        <v>291</v>
      </c>
      <c r="B66" s="12" t="s">
        <v>269</v>
      </c>
      <c r="C66" s="12" t="s">
        <v>85</v>
      </c>
      <c r="D66" s="40">
        <v>41542</v>
      </c>
      <c r="E66" s="12" t="s">
        <v>90</v>
      </c>
      <c r="F66" s="29">
        <v>3</v>
      </c>
      <c r="G66" s="29"/>
      <c r="H66" s="29"/>
    </row>
    <row r="67" spans="1:8" ht="12.75" hidden="1" customHeight="1" outlineLevel="1" x14ac:dyDescent="0.2">
      <c r="A67" s="12" t="s">
        <v>13</v>
      </c>
      <c r="B67" s="12" t="s">
        <v>269</v>
      </c>
      <c r="C67" s="12" t="s">
        <v>85</v>
      </c>
      <c r="D67" s="40">
        <v>41549</v>
      </c>
      <c r="E67" s="12" t="s">
        <v>14</v>
      </c>
      <c r="F67" s="29">
        <v>3</v>
      </c>
      <c r="G67" s="29"/>
      <c r="H67" s="29"/>
    </row>
    <row r="68" spans="1:8" ht="12.75" hidden="1" customHeight="1" outlineLevel="1" x14ac:dyDescent="0.2">
      <c r="A68" s="12" t="s">
        <v>294</v>
      </c>
      <c r="B68" s="12" t="s">
        <v>269</v>
      </c>
      <c r="C68" s="12" t="s">
        <v>85</v>
      </c>
      <c r="D68" s="40">
        <v>41549</v>
      </c>
      <c r="E68" s="12" t="s">
        <v>90</v>
      </c>
      <c r="F68" s="29">
        <v>3</v>
      </c>
      <c r="G68" s="29"/>
      <c r="H68" s="29"/>
    </row>
    <row r="69" spans="1:8" ht="12.75" hidden="1" customHeight="1" outlineLevel="1" x14ac:dyDescent="0.2">
      <c r="A69" s="29"/>
      <c r="B69" s="29"/>
      <c r="C69" s="29"/>
      <c r="D69" s="40"/>
      <c r="E69" s="29"/>
      <c r="G69" s="29"/>
      <c r="H69" s="29"/>
    </row>
    <row r="70" spans="1:8" ht="12.75" hidden="1" customHeight="1" outlineLevel="1" x14ac:dyDescent="0.25">
      <c r="A70" s="29"/>
      <c r="B70" s="29"/>
      <c r="C70" s="29"/>
      <c r="D70" s="40"/>
      <c r="E70" s="29"/>
      <c r="F70" s="143">
        <f>SUM(F17:F68)</f>
        <v>214</v>
      </c>
      <c r="G70" s="29"/>
      <c r="H70" s="29"/>
    </row>
    <row r="71" spans="1:8" ht="12.75" hidden="1" customHeight="1" outlineLevel="1" x14ac:dyDescent="0.2">
      <c r="A71" s="29"/>
      <c r="B71" s="29"/>
      <c r="C71" s="29"/>
      <c r="D71" s="40"/>
      <c r="E71" s="29"/>
      <c r="F71" s="29"/>
      <c r="G71" s="29"/>
      <c r="H71" s="29"/>
    </row>
    <row r="72" spans="1:8" ht="12.75" hidden="1" customHeight="1" outlineLevel="1" x14ac:dyDescent="0.2">
      <c r="A72" s="29"/>
      <c r="B72" s="29"/>
      <c r="C72" s="29"/>
      <c r="D72" s="40"/>
      <c r="E72" s="29"/>
      <c r="F72" s="29"/>
      <c r="G72" s="29"/>
      <c r="H72" s="29"/>
    </row>
    <row r="73" spans="1:8" ht="12.75" hidden="1" customHeight="1" outlineLevel="1" x14ac:dyDescent="0.2">
      <c r="A73" s="29"/>
      <c r="B73" s="29"/>
      <c r="C73" s="29"/>
      <c r="D73" s="40"/>
      <c r="E73" s="29"/>
      <c r="F73" s="29"/>
      <c r="G73" s="29"/>
      <c r="H73" s="29"/>
    </row>
    <row r="74" spans="1:8" collapsed="1" x14ac:dyDescent="0.2">
      <c r="A74" s="29"/>
      <c r="B74" s="29"/>
      <c r="C74" s="29"/>
      <c r="D74" s="40"/>
      <c r="E74" s="29"/>
      <c r="F74" s="29"/>
      <c r="G74" s="29"/>
      <c r="H74" s="29"/>
    </row>
    <row r="75" spans="1:8" x14ac:dyDescent="0.2">
      <c r="A75" s="29" t="s">
        <v>13</v>
      </c>
      <c r="B75" s="29" t="s">
        <v>852</v>
      </c>
      <c r="C75" s="29"/>
      <c r="D75" s="40">
        <v>41773</v>
      </c>
      <c r="E75" s="29" t="s">
        <v>14</v>
      </c>
      <c r="F75" s="29"/>
      <c r="G75" s="29"/>
      <c r="H75" s="29"/>
    </row>
    <row r="76" spans="1:8" x14ac:dyDescent="0.2">
      <c r="A76" s="29"/>
      <c r="B76" s="29"/>
      <c r="C76" s="29"/>
      <c r="D76" s="40"/>
      <c r="E76" s="29"/>
      <c r="F76" s="29"/>
      <c r="G76" s="29"/>
      <c r="H76" s="29"/>
    </row>
    <row r="77" spans="1:8" x14ac:dyDescent="0.2">
      <c r="A77" s="29"/>
      <c r="B77" s="29"/>
      <c r="C77" s="29"/>
      <c r="D77" s="40"/>
      <c r="E77" s="29"/>
      <c r="F77" s="29"/>
      <c r="G77" s="29"/>
      <c r="H77" s="29"/>
    </row>
    <row r="78" spans="1:8" x14ac:dyDescent="0.2">
      <c r="A78" s="29"/>
      <c r="B78" s="29"/>
      <c r="C78" s="29"/>
      <c r="D78" s="40"/>
      <c r="E78" s="29"/>
      <c r="F78" s="29"/>
      <c r="G78" s="29"/>
      <c r="H78" s="29"/>
    </row>
    <row r="79" spans="1:8" x14ac:dyDescent="0.2">
      <c r="A79" s="29"/>
      <c r="B79" s="29"/>
      <c r="C79" s="29"/>
      <c r="D79" s="40"/>
      <c r="E79" s="29"/>
      <c r="F79" s="29"/>
      <c r="G79" s="29"/>
      <c r="H79" s="29"/>
    </row>
    <row r="80" spans="1:8" x14ac:dyDescent="0.2">
      <c r="A80" s="29"/>
      <c r="B80" s="29"/>
      <c r="C80" s="29"/>
      <c r="D80" s="40"/>
      <c r="E80" s="29"/>
      <c r="F80" s="29"/>
      <c r="G80" s="29"/>
      <c r="H80" s="29"/>
    </row>
    <row r="81" spans="1:8" x14ac:dyDescent="0.2">
      <c r="A81" s="29"/>
      <c r="B81" s="29"/>
      <c r="C81" s="29"/>
      <c r="D81" s="40"/>
      <c r="E81" s="29"/>
      <c r="F81" s="29"/>
      <c r="G81" s="29"/>
      <c r="H81" s="29"/>
    </row>
    <row r="82" spans="1:8" x14ac:dyDescent="0.2">
      <c r="A82" s="29"/>
      <c r="B82" s="29"/>
      <c r="C82" s="29"/>
      <c r="D82" s="40"/>
      <c r="E82" s="29"/>
      <c r="F82" s="29"/>
      <c r="G82" s="29"/>
      <c r="H82" s="29"/>
    </row>
    <row r="83" spans="1:8" x14ac:dyDescent="0.2">
      <c r="A83" s="29"/>
      <c r="B83" s="29"/>
      <c r="C83" s="29"/>
      <c r="D83" s="40"/>
      <c r="E83" s="29"/>
      <c r="F83" s="29"/>
      <c r="G83" s="29"/>
      <c r="H83" s="29"/>
    </row>
    <row r="84" spans="1:8" x14ac:dyDescent="0.2">
      <c r="A84" s="29"/>
      <c r="B84" s="29"/>
      <c r="C84" s="29"/>
      <c r="D84" s="40"/>
      <c r="E84" s="29"/>
      <c r="F84" s="29"/>
      <c r="G84" s="29"/>
      <c r="H84" s="29"/>
    </row>
    <row r="85" spans="1:8" x14ac:dyDescent="0.2">
      <c r="A85" s="29"/>
      <c r="B85" s="29"/>
      <c r="C85" s="29"/>
      <c r="D85" s="40"/>
      <c r="E85" s="29"/>
      <c r="F85" s="29"/>
      <c r="G85" s="29"/>
      <c r="H85" s="29"/>
    </row>
    <row r="86" spans="1:8" x14ac:dyDescent="0.2">
      <c r="A86" s="29"/>
      <c r="B86" s="29"/>
      <c r="C86" s="29"/>
      <c r="D86" s="40"/>
      <c r="E86" s="29"/>
      <c r="F86" s="29"/>
      <c r="G86" s="29"/>
      <c r="H86" s="29"/>
    </row>
    <row r="87" spans="1:8" x14ac:dyDescent="0.2">
      <c r="A87" s="29"/>
      <c r="B87" s="29"/>
      <c r="C87" s="29"/>
      <c r="D87" s="40"/>
      <c r="E87" s="29"/>
      <c r="F87" s="29"/>
      <c r="G87" s="29"/>
      <c r="H87" s="29"/>
    </row>
    <row r="88" spans="1:8" x14ac:dyDescent="0.2">
      <c r="A88" s="29"/>
      <c r="B88" s="29"/>
      <c r="C88" s="29"/>
      <c r="D88" s="40"/>
      <c r="E88" s="29"/>
      <c r="F88" s="29"/>
      <c r="G88" s="29"/>
      <c r="H88" s="29"/>
    </row>
    <row r="89" spans="1:8" x14ac:dyDescent="0.2">
      <c r="A89" s="29"/>
      <c r="B89" s="29"/>
      <c r="C89" s="29"/>
      <c r="D89" s="40"/>
      <c r="E89" s="29"/>
      <c r="F89" s="29"/>
      <c r="G89" s="29"/>
      <c r="H89" s="29"/>
    </row>
    <row r="90" spans="1:8" x14ac:dyDescent="0.2">
      <c r="A90" s="29"/>
      <c r="B90" s="29"/>
      <c r="C90" s="29"/>
      <c r="D90" s="40"/>
      <c r="E90" s="29"/>
      <c r="F90" s="29"/>
      <c r="G90" s="29"/>
      <c r="H90" s="29"/>
    </row>
    <row r="91" spans="1:8" x14ac:dyDescent="0.2">
      <c r="A91" s="29"/>
      <c r="B91" s="29"/>
      <c r="C91" s="29"/>
      <c r="D91" s="40"/>
      <c r="E91" s="29"/>
      <c r="F91" s="29"/>
      <c r="G91" s="29"/>
      <c r="H91" s="29"/>
    </row>
    <row r="92" spans="1:8" x14ac:dyDescent="0.2">
      <c r="A92" s="29"/>
      <c r="B92" s="29"/>
      <c r="C92" s="29"/>
      <c r="D92" s="40"/>
      <c r="E92" s="29"/>
      <c r="F92" s="29"/>
      <c r="G92" s="29"/>
      <c r="H92" s="29"/>
    </row>
    <row r="93" spans="1:8" x14ac:dyDescent="0.2">
      <c r="A93" s="29"/>
      <c r="B93" s="29"/>
      <c r="C93" s="29"/>
      <c r="D93" s="40"/>
      <c r="E93" s="29"/>
      <c r="F93" s="29"/>
      <c r="G93" s="29"/>
      <c r="H93" s="29"/>
    </row>
    <row r="94" spans="1:8" x14ac:dyDescent="0.2">
      <c r="A94" s="29"/>
      <c r="B94" s="29"/>
      <c r="C94" s="29"/>
      <c r="D94" s="40"/>
      <c r="E94" s="29"/>
      <c r="F94" s="29"/>
      <c r="G94" s="29"/>
      <c r="H94" s="29"/>
    </row>
    <row r="95" spans="1:8" x14ac:dyDescent="0.2">
      <c r="A95" s="29"/>
      <c r="B95" s="29"/>
      <c r="C95" s="29"/>
      <c r="D95" s="40"/>
      <c r="E95" s="29"/>
      <c r="F95" s="29"/>
      <c r="G95" s="29"/>
      <c r="H95" s="29"/>
    </row>
    <row r="96" spans="1:8" x14ac:dyDescent="0.2">
      <c r="A96" s="29"/>
      <c r="B96" s="29"/>
      <c r="C96" s="29"/>
      <c r="D96" s="40"/>
      <c r="E96" s="29"/>
      <c r="F96" s="29"/>
      <c r="G96" s="29"/>
      <c r="H96" s="29"/>
    </row>
    <row r="97" spans="1:8" x14ac:dyDescent="0.2">
      <c r="A97" s="29"/>
      <c r="B97" s="29"/>
      <c r="C97" s="29"/>
      <c r="D97" s="40"/>
      <c r="E97" s="29"/>
      <c r="F97" s="29"/>
      <c r="G97" s="29"/>
      <c r="H97" s="29"/>
    </row>
    <row r="98" spans="1:8" x14ac:dyDescent="0.2">
      <c r="A98" s="29"/>
      <c r="B98" s="29"/>
      <c r="C98" s="29"/>
      <c r="D98" s="40"/>
      <c r="E98" s="29"/>
      <c r="F98" s="29"/>
      <c r="G98" s="29"/>
      <c r="H98" s="29"/>
    </row>
    <row r="99" spans="1:8" x14ac:dyDescent="0.2">
      <c r="A99" s="29"/>
      <c r="B99" s="29"/>
      <c r="C99" s="29"/>
      <c r="D99" s="40"/>
      <c r="E99" s="29"/>
      <c r="F99" s="29"/>
      <c r="G99" s="29"/>
      <c r="H99" s="29"/>
    </row>
    <row r="100" spans="1:8" x14ac:dyDescent="0.2">
      <c r="A100" s="29"/>
      <c r="B100" s="29"/>
      <c r="C100" s="29"/>
      <c r="D100" s="40"/>
      <c r="E100" s="29"/>
      <c r="F100" s="29"/>
      <c r="G100" s="29"/>
      <c r="H100" s="29"/>
    </row>
    <row r="101" spans="1:8" x14ac:dyDescent="0.2">
      <c r="A101" s="29"/>
      <c r="B101" s="29"/>
      <c r="C101" s="29"/>
      <c r="D101" s="40"/>
      <c r="E101" s="29"/>
      <c r="F101" s="29"/>
      <c r="G101" s="29"/>
      <c r="H101" s="29"/>
    </row>
    <row r="102" spans="1:8" x14ac:dyDescent="0.2">
      <c r="A102" s="29"/>
      <c r="B102" s="29"/>
      <c r="C102" s="29"/>
      <c r="D102" s="40"/>
      <c r="E102" s="29"/>
      <c r="F102" s="29"/>
      <c r="G102" s="29"/>
      <c r="H102" s="29"/>
    </row>
    <row r="103" spans="1:8" x14ac:dyDescent="0.2">
      <c r="A103" s="29"/>
      <c r="B103" s="29"/>
      <c r="C103" s="29"/>
      <c r="D103" s="40"/>
      <c r="E103" s="29"/>
      <c r="F103" s="29"/>
      <c r="G103" s="29"/>
      <c r="H103" s="29"/>
    </row>
    <row r="104" spans="1:8" x14ac:dyDescent="0.2">
      <c r="A104" s="29"/>
      <c r="B104" s="29"/>
      <c r="C104" s="29"/>
      <c r="D104" s="40"/>
      <c r="E104" s="29"/>
      <c r="F104" s="29"/>
      <c r="G104" s="29"/>
      <c r="H104" s="29"/>
    </row>
    <row r="105" spans="1:8" x14ac:dyDescent="0.2">
      <c r="A105" s="29"/>
      <c r="B105" s="29"/>
      <c r="C105" s="29"/>
      <c r="D105" s="40"/>
      <c r="E105" s="29"/>
      <c r="F105" s="29"/>
      <c r="G105" s="29"/>
      <c r="H105" s="29"/>
    </row>
    <row r="106" spans="1:8" x14ac:dyDescent="0.2">
      <c r="A106" s="29"/>
      <c r="B106" s="29"/>
      <c r="C106" s="29"/>
      <c r="D106" s="40"/>
      <c r="E106" s="29"/>
      <c r="F106" s="29"/>
      <c r="G106" s="29"/>
      <c r="H106" s="29"/>
    </row>
    <row r="107" spans="1:8" x14ac:dyDescent="0.2">
      <c r="A107" s="29"/>
      <c r="B107" s="29"/>
      <c r="C107" s="29"/>
      <c r="D107" s="40"/>
      <c r="E107" s="29"/>
      <c r="F107" s="29"/>
      <c r="G107" s="29"/>
      <c r="H107" s="29"/>
    </row>
    <row r="108" spans="1:8" x14ac:dyDescent="0.2">
      <c r="A108" s="29"/>
      <c r="B108" s="29"/>
      <c r="C108" s="29"/>
      <c r="D108" s="40"/>
      <c r="E108" s="29"/>
      <c r="F108" s="29"/>
      <c r="G108" s="29"/>
      <c r="H108" s="29"/>
    </row>
    <row r="109" spans="1:8" x14ac:dyDescent="0.2">
      <c r="A109" s="29"/>
      <c r="B109" s="29"/>
      <c r="C109" s="29"/>
      <c r="D109" s="40"/>
      <c r="E109" s="29"/>
      <c r="F109" s="29"/>
      <c r="G109" s="29"/>
      <c r="H109" s="29"/>
    </row>
    <row r="110" spans="1:8" x14ac:dyDescent="0.2">
      <c r="A110" s="29"/>
      <c r="B110" s="29"/>
      <c r="C110" s="29"/>
      <c r="D110" s="40"/>
      <c r="E110" s="29"/>
      <c r="F110" s="29"/>
      <c r="G110" s="29"/>
      <c r="H110" s="29"/>
    </row>
    <row r="111" spans="1:8" x14ac:dyDescent="0.2">
      <c r="A111" s="29"/>
      <c r="B111" s="29"/>
      <c r="C111" s="29"/>
      <c r="D111" s="40"/>
      <c r="E111" s="29"/>
      <c r="F111" s="29"/>
      <c r="G111" s="29"/>
      <c r="H111" s="29"/>
    </row>
    <row r="112" spans="1:8" x14ac:dyDescent="0.2">
      <c r="A112" s="29"/>
      <c r="B112" s="29"/>
      <c r="C112" s="29"/>
      <c r="D112" s="40"/>
      <c r="E112" s="29"/>
      <c r="F112" s="29"/>
      <c r="G112" s="29"/>
      <c r="H112" s="29"/>
    </row>
    <row r="113" spans="1:8" x14ac:dyDescent="0.2">
      <c r="A113" s="29"/>
      <c r="B113" s="29"/>
      <c r="C113" s="29"/>
      <c r="D113" s="40"/>
      <c r="E113" s="29"/>
      <c r="F113" s="29"/>
      <c r="G113" s="29"/>
      <c r="H113" s="29"/>
    </row>
    <row r="114" spans="1:8" x14ac:dyDescent="0.2">
      <c r="A114" s="29"/>
      <c r="B114" s="29"/>
      <c r="C114" s="29"/>
      <c r="D114" s="40"/>
      <c r="E114" s="29"/>
      <c r="F114" s="29"/>
      <c r="G114" s="29"/>
      <c r="H114" s="29"/>
    </row>
    <row r="115" spans="1:8" x14ac:dyDescent="0.2">
      <c r="A115" s="29"/>
      <c r="B115" s="29"/>
      <c r="C115" s="29"/>
      <c r="D115" s="40"/>
      <c r="E115" s="29"/>
      <c r="F115" s="29"/>
      <c r="G115" s="29"/>
      <c r="H115" s="29"/>
    </row>
    <row r="116" spans="1:8" x14ac:dyDescent="0.2">
      <c r="A116" s="29"/>
      <c r="B116" s="29"/>
      <c r="C116" s="29"/>
      <c r="D116" s="40"/>
      <c r="E116" s="29"/>
      <c r="F116" s="29"/>
      <c r="G116" s="29"/>
      <c r="H116" s="29"/>
    </row>
    <row r="117" spans="1:8" x14ac:dyDescent="0.2">
      <c r="A117" s="29"/>
      <c r="B117" s="29"/>
      <c r="C117" s="29"/>
      <c r="D117" s="40"/>
      <c r="E117" s="29"/>
      <c r="F117" s="29"/>
      <c r="G117" s="29"/>
      <c r="H117" s="29"/>
    </row>
    <row r="118" spans="1:8" x14ac:dyDescent="0.2">
      <c r="A118" s="29"/>
      <c r="B118" s="29"/>
      <c r="C118" s="29"/>
      <c r="D118" s="40"/>
      <c r="E118" s="29"/>
      <c r="F118" s="29"/>
      <c r="G118" s="29"/>
      <c r="H118" s="29"/>
    </row>
    <row r="119" spans="1:8" x14ac:dyDescent="0.2">
      <c r="A119" s="29"/>
      <c r="B119" s="29"/>
      <c r="C119" s="29"/>
      <c r="D119" s="40"/>
      <c r="E119" s="29"/>
      <c r="F119" s="29"/>
      <c r="G119" s="29"/>
      <c r="H119" s="29"/>
    </row>
    <row r="120" spans="1:8" x14ac:dyDescent="0.2">
      <c r="A120" s="29"/>
      <c r="B120" s="29"/>
      <c r="C120" s="29"/>
      <c r="D120" s="40"/>
      <c r="E120" s="29"/>
      <c r="F120" s="29"/>
      <c r="G120" s="29"/>
      <c r="H120" s="29"/>
    </row>
    <row r="121" spans="1:8" x14ac:dyDescent="0.2">
      <c r="A121" s="29"/>
      <c r="B121" s="29"/>
      <c r="C121" s="29"/>
      <c r="D121" s="40"/>
      <c r="E121" s="29"/>
      <c r="F121" s="29"/>
      <c r="G121" s="29"/>
      <c r="H121" s="29"/>
    </row>
    <row r="122" spans="1:8" x14ac:dyDescent="0.2">
      <c r="A122" s="29"/>
      <c r="B122" s="29"/>
      <c r="C122" s="29"/>
      <c r="D122" s="40"/>
      <c r="E122" s="29"/>
      <c r="F122" s="29"/>
      <c r="G122" s="29"/>
      <c r="H122" s="29"/>
    </row>
    <row r="123" spans="1:8" x14ac:dyDescent="0.2">
      <c r="A123" s="29"/>
      <c r="B123" s="29"/>
      <c r="C123" s="29"/>
      <c r="D123" s="40"/>
      <c r="E123" s="29"/>
      <c r="F123" s="29"/>
      <c r="G123" s="29"/>
      <c r="H123" s="29"/>
    </row>
    <row r="124" spans="1:8" x14ac:dyDescent="0.2">
      <c r="A124" s="29"/>
      <c r="B124" s="29"/>
      <c r="C124" s="29"/>
      <c r="D124" s="40"/>
      <c r="E124" s="29"/>
      <c r="F124" s="29"/>
      <c r="G124" s="29"/>
      <c r="H124" s="29"/>
    </row>
    <row r="125" spans="1:8" x14ac:dyDescent="0.2">
      <c r="A125" s="29"/>
      <c r="B125" s="29"/>
      <c r="C125" s="29"/>
      <c r="D125" s="40"/>
      <c r="E125" s="29"/>
      <c r="F125" s="29"/>
      <c r="G125" s="29"/>
      <c r="H125" s="29"/>
    </row>
    <row r="126" spans="1:8" x14ac:dyDescent="0.2">
      <c r="A126" s="29"/>
      <c r="B126" s="29"/>
      <c r="C126" s="29"/>
      <c r="D126" s="40"/>
      <c r="E126" s="29"/>
      <c r="F126" s="29"/>
      <c r="G126" s="29"/>
      <c r="H126" s="29"/>
    </row>
    <row r="127" spans="1:8" x14ac:dyDescent="0.2">
      <c r="A127" s="29"/>
      <c r="B127" s="29"/>
      <c r="C127" s="29"/>
      <c r="D127" s="40"/>
      <c r="E127" s="29"/>
      <c r="F127" s="29"/>
      <c r="G127" s="29"/>
      <c r="H127" s="29"/>
    </row>
    <row r="128" spans="1:8" x14ac:dyDescent="0.2">
      <c r="A128" s="29"/>
      <c r="B128" s="29"/>
      <c r="C128" s="29"/>
      <c r="D128" s="40"/>
      <c r="E128" s="29"/>
      <c r="F128" s="29"/>
      <c r="G128" s="29"/>
      <c r="H128" s="29"/>
    </row>
    <row r="129" spans="1:8" x14ac:dyDescent="0.2">
      <c r="A129" s="29"/>
      <c r="B129" s="29"/>
      <c r="C129" s="29"/>
      <c r="D129" s="40"/>
      <c r="E129" s="29"/>
      <c r="F129" s="29"/>
      <c r="G129" s="29"/>
      <c r="H129" s="29"/>
    </row>
    <row r="130" spans="1:8" x14ac:dyDescent="0.2">
      <c r="A130" s="29"/>
      <c r="B130" s="29"/>
      <c r="C130" s="29"/>
      <c r="D130" s="40"/>
      <c r="E130" s="29"/>
      <c r="F130" s="29"/>
      <c r="G130" s="29"/>
      <c r="H130" s="29"/>
    </row>
    <row r="131" spans="1:8" x14ac:dyDescent="0.2">
      <c r="A131" s="29"/>
      <c r="B131" s="29"/>
      <c r="C131" s="29"/>
      <c r="D131" s="40"/>
      <c r="E131" s="29"/>
      <c r="F131" s="29"/>
      <c r="G131" s="33"/>
      <c r="H131" s="29"/>
    </row>
    <row r="132" spans="1:8" x14ac:dyDescent="0.2">
      <c r="A132" s="33"/>
      <c r="B132" s="33"/>
      <c r="C132" s="33"/>
      <c r="D132" s="43"/>
      <c r="E132" s="33"/>
      <c r="F132" s="33"/>
      <c r="G132" s="44"/>
      <c r="H132" s="33"/>
    </row>
    <row r="133" spans="1:8" x14ac:dyDescent="0.2">
      <c r="A133" s="27"/>
      <c r="B133" s="27"/>
      <c r="C133" s="27"/>
      <c r="D133" s="45"/>
      <c r="E133" s="27"/>
      <c r="F133" s="27"/>
      <c r="G133" s="27"/>
      <c r="H133" s="27"/>
    </row>
    <row r="134" spans="1:8" x14ac:dyDescent="0.2">
      <c r="A134" s="29"/>
      <c r="B134" s="29"/>
      <c r="C134" s="29"/>
      <c r="D134" s="40"/>
      <c r="E134" s="29"/>
      <c r="F134" s="29"/>
      <c r="G134" s="29"/>
      <c r="H134" s="29"/>
    </row>
    <row r="135" spans="1:8" x14ac:dyDescent="0.2">
      <c r="A135" s="29"/>
      <c r="B135" s="29"/>
      <c r="C135" s="29"/>
      <c r="D135" s="40"/>
      <c r="E135" s="29"/>
      <c r="F135" s="29"/>
      <c r="G135" s="29"/>
      <c r="H135" s="29"/>
    </row>
    <row r="136" spans="1:8" x14ac:dyDescent="0.2">
      <c r="A136" s="29"/>
      <c r="B136" s="29"/>
      <c r="C136" s="29"/>
      <c r="D136" s="40"/>
      <c r="E136" s="29"/>
      <c r="F136" s="29"/>
      <c r="G136" s="29"/>
      <c r="H136" s="29"/>
    </row>
    <row r="137" spans="1:8" x14ac:dyDescent="0.2">
      <c r="A137" s="29"/>
      <c r="B137" s="29"/>
      <c r="C137" s="29"/>
      <c r="D137" s="40"/>
      <c r="E137" s="29"/>
      <c r="F137" s="29"/>
      <c r="G137" s="29"/>
      <c r="H137" s="29"/>
    </row>
    <row r="138" spans="1:8" x14ac:dyDescent="0.2">
      <c r="A138" s="29"/>
      <c r="B138" s="29"/>
      <c r="C138" s="29"/>
      <c r="D138" s="40"/>
      <c r="E138" s="29"/>
      <c r="F138" s="29"/>
      <c r="G138" s="29"/>
      <c r="H138" s="29"/>
    </row>
    <row r="139" spans="1:8" x14ac:dyDescent="0.2">
      <c r="A139" s="29"/>
      <c r="B139" s="29"/>
      <c r="C139" s="29"/>
      <c r="D139" s="29"/>
      <c r="E139" s="29"/>
      <c r="F139" s="5"/>
      <c r="G139" s="29"/>
      <c r="H139" s="29"/>
    </row>
  </sheetData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opLeftCell="A7" workbookViewId="0">
      <selection activeCell="D27" sqref="D27"/>
    </sheetView>
  </sheetViews>
  <sheetFormatPr defaultColWidth="8.7109375" defaultRowHeight="12.75" customHeight="1" outlineLevelRow="1" x14ac:dyDescent="0.2"/>
  <cols>
    <col min="1" max="1" width="10.140625" bestFit="1" customWidth="1"/>
    <col min="2" max="2" width="30.140625" bestFit="1" customWidth="1"/>
    <col min="3" max="3" width="8.5703125" customWidth="1"/>
    <col min="4" max="4" width="8.140625" bestFit="1" customWidth="1"/>
    <col min="5" max="5" width="15" customWidth="1"/>
    <col min="6" max="6" width="7.5703125" customWidth="1"/>
    <col min="7" max="7" width="21" customWidth="1"/>
    <col min="8" max="8" width="15.28515625" customWidth="1"/>
  </cols>
  <sheetData>
    <row r="1" spans="1:8" ht="12.75" customHeight="1" x14ac:dyDescent="0.2">
      <c r="A1" s="8" t="s">
        <v>104</v>
      </c>
      <c r="B1" s="46" t="s">
        <v>105</v>
      </c>
      <c r="C1" s="46" t="s">
        <v>106</v>
      </c>
      <c r="D1" s="47" t="s">
        <v>107</v>
      </c>
      <c r="E1" s="46" t="s">
        <v>108</v>
      </c>
      <c r="F1" s="46" t="s">
        <v>109</v>
      </c>
      <c r="G1" s="48" t="s">
        <v>4</v>
      </c>
      <c r="H1" s="48" t="s">
        <v>110</v>
      </c>
    </row>
    <row r="2" spans="1:8" ht="12.75" customHeight="1" outlineLevel="1" x14ac:dyDescent="0.2">
      <c r="A2" s="49">
        <v>41246</v>
      </c>
      <c r="B2" s="4" t="s">
        <v>111</v>
      </c>
      <c r="C2" s="4">
        <v>1</v>
      </c>
      <c r="D2" s="50">
        <v>33.99</v>
      </c>
      <c r="E2" s="4" t="s">
        <v>112</v>
      </c>
      <c r="F2" s="29"/>
      <c r="G2" s="29" t="s">
        <v>113</v>
      </c>
      <c r="H2" s="29"/>
    </row>
    <row r="3" spans="1:8" ht="12.75" customHeight="1" outlineLevel="1" x14ac:dyDescent="0.2">
      <c r="A3" s="51"/>
      <c r="B3" s="52" t="s">
        <v>114</v>
      </c>
      <c r="C3" s="52">
        <v>1</v>
      </c>
      <c r="D3" s="53">
        <v>0</v>
      </c>
      <c r="E3" s="52" t="s">
        <v>115</v>
      </c>
      <c r="F3" s="54"/>
      <c r="G3" s="6" t="s">
        <v>116</v>
      </c>
      <c r="H3" s="6" t="s">
        <v>267</v>
      </c>
    </row>
    <row r="4" spans="1:8" ht="12.75" customHeight="1" outlineLevel="1" x14ac:dyDescent="0.2">
      <c r="A4" s="55">
        <v>41416</v>
      </c>
      <c r="B4" s="13" t="s">
        <v>117</v>
      </c>
      <c r="C4" s="4">
        <v>1</v>
      </c>
      <c r="D4" s="50">
        <v>7.95</v>
      </c>
      <c r="E4" s="13" t="s">
        <v>118</v>
      </c>
      <c r="F4" s="29"/>
      <c r="G4" s="14" t="s">
        <v>113</v>
      </c>
      <c r="H4" s="29"/>
    </row>
    <row r="5" spans="1:8" ht="12.75" customHeight="1" outlineLevel="1" x14ac:dyDescent="0.2">
      <c r="A5" s="40">
        <v>41456</v>
      </c>
      <c r="B5" s="12" t="s">
        <v>119</v>
      </c>
      <c r="C5" s="29">
        <v>4</v>
      </c>
      <c r="D5" s="29">
        <v>49.17</v>
      </c>
      <c r="E5" s="12" t="s">
        <v>120</v>
      </c>
      <c r="F5" s="29"/>
      <c r="G5" s="12" t="s">
        <v>121</v>
      </c>
      <c r="H5" s="29"/>
    </row>
    <row r="6" spans="1:8" ht="12.75" customHeight="1" outlineLevel="1" x14ac:dyDescent="0.2">
      <c r="A6" s="40">
        <v>41466</v>
      </c>
      <c r="B6" s="12" t="s">
        <v>247</v>
      </c>
      <c r="C6" s="29">
        <v>1</v>
      </c>
      <c r="D6" s="75">
        <v>49.9</v>
      </c>
      <c r="E6" s="12" t="s">
        <v>244</v>
      </c>
      <c r="F6" s="29"/>
      <c r="G6" s="15" t="s">
        <v>249</v>
      </c>
      <c r="H6" s="29"/>
    </row>
    <row r="7" spans="1:8" ht="12.75" customHeight="1" outlineLevel="1" x14ac:dyDescent="0.2">
      <c r="A7" s="40">
        <v>41467</v>
      </c>
      <c r="B7" s="12" t="s">
        <v>245</v>
      </c>
      <c r="C7" s="29">
        <v>1</v>
      </c>
      <c r="D7" s="75">
        <v>38.409999999999997</v>
      </c>
      <c r="E7" s="12" t="s">
        <v>244</v>
      </c>
      <c r="F7" s="29"/>
      <c r="G7" s="12" t="s">
        <v>246</v>
      </c>
      <c r="H7" s="29"/>
    </row>
    <row r="8" spans="1:8" ht="12.75" customHeight="1" outlineLevel="1" x14ac:dyDescent="0.2">
      <c r="A8" s="40">
        <v>41482</v>
      </c>
      <c r="B8" s="88" t="s">
        <v>263</v>
      </c>
      <c r="C8" s="29">
        <v>3</v>
      </c>
      <c r="D8" s="75">
        <v>4.5</v>
      </c>
      <c r="E8" s="12" t="s">
        <v>264</v>
      </c>
      <c r="F8" s="29"/>
      <c r="G8" s="12" t="s">
        <v>251</v>
      </c>
      <c r="H8" s="29"/>
    </row>
    <row r="9" spans="1:8" ht="12.75" customHeight="1" outlineLevel="1" x14ac:dyDescent="0.2">
      <c r="A9" s="56">
        <v>41482</v>
      </c>
      <c r="B9" s="12" t="s">
        <v>261</v>
      </c>
      <c r="C9" s="29">
        <v>6</v>
      </c>
      <c r="D9" s="75">
        <v>38.840000000000003</v>
      </c>
      <c r="E9" s="12" t="s">
        <v>262</v>
      </c>
      <c r="F9" s="29"/>
      <c r="G9" s="12" t="s">
        <v>251</v>
      </c>
      <c r="H9" s="29"/>
    </row>
    <row r="10" spans="1:8" ht="12.75" customHeight="1" outlineLevel="1" x14ac:dyDescent="0.25">
      <c r="A10" s="40"/>
      <c r="B10" s="29"/>
      <c r="C10" s="29"/>
      <c r="D10" s="90">
        <f>SUM(D2:D9)</f>
        <v>222.76000000000002</v>
      </c>
      <c r="E10" s="29"/>
      <c r="F10" s="93">
        <v>41483</v>
      </c>
      <c r="G10" s="29"/>
      <c r="H10" s="93">
        <v>41505</v>
      </c>
    </row>
    <row r="11" spans="1:8" s="11" customFormat="1" ht="12.75" customHeight="1" outlineLevel="1" x14ac:dyDescent="0.2">
      <c r="A11" s="43"/>
      <c r="B11" s="33"/>
      <c r="C11" s="33"/>
      <c r="D11" s="91"/>
      <c r="E11" s="33"/>
      <c r="F11" s="33"/>
      <c r="G11" s="33"/>
      <c r="H11" s="33"/>
    </row>
    <row r="12" spans="1:8" ht="12.75" customHeight="1" outlineLevel="1" x14ac:dyDescent="0.2">
      <c r="A12" s="40">
        <v>41532</v>
      </c>
      <c r="B12" s="12" t="s">
        <v>288</v>
      </c>
      <c r="C12" s="29">
        <v>2</v>
      </c>
      <c r="D12" s="75">
        <v>3</v>
      </c>
      <c r="E12" s="12" t="s">
        <v>264</v>
      </c>
      <c r="F12" s="29"/>
      <c r="G12" s="12" t="s">
        <v>289</v>
      </c>
      <c r="H12" s="29"/>
    </row>
    <row r="13" spans="1:8" ht="12.75" customHeight="1" outlineLevel="1" x14ac:dyDescent="0.2">
      <c r="A13" s="40">
        <v>41539</v>
      </c>
      <c r="B13" s="12" t="s">
        <v>295</v>
      </c>
      <c r="C13" s="29"/>
      <c r="D13" s="75">
        <v>60.39</v>
      </c>
      <c r="E13" s="12" t="s">
        <v>290</v>
      </c>
      <c r="F13" s="29"/>
      <c r="G13" s="12" t="s">
        <v>113</v>
      </c>
      <c r="H13" s="29"/>
    </row>
    <row r="14" spans="1:8" ht="12.75" customHeight="1" outlineLevel="1" x14ac:dyDescent="0.2">
      <c r="A14" s="40">
        <v>41539</v>
      </c>
      <c r="B14" s="12" t="s">
        <v>299</v>
      </c>
      <c r="C14" s="29">
        <v>2</v>
      </c>
      <c r="D14" s="75">
        <v>24.98</v>
      </c>
      <c r="E14" s="12" t="s">
        <v>296</v>
      </c>
      <c r="F14" s="29"/>
      <c r="G14" s="12" t="s">
        <v>113</v>
      </c>
      <c r="H14" s="29"/>
    </row>
    <row r="15" spans="1:8" ht="12.75" customHeight="1" outlineLevel="1" x14ac:dyDescent="0.2">
      <c r="A15" s="40">
        <v>41544</v>
      </c>
      <c r="B15" s="12" t="s">
        <v>300</v>
      </c>
      <c r="C15" s="29">
        <v>2</v>
      </c>
      <c r="D15" s="75">
        <v>3.94</v>
      </c>
      <c r="E15" s="12" t="s">
        <v>297</v>
      </c>
      <c r="F15" s="29"/>
      <c r="G15" s="29"/>
      <c r="H15" s="29"/>
    </row>
    <row r="16" spans="1:8" ht="12.75" customHeight="1" outlineLevel="1" x14ac:dyDescent="0.2">
      <c r="A16" s="40">
        <v>41544</v>
      </c>
      <c r="B16" s="12" t="s">
        <v>298</v>
      </c>
      <c r="C16" s="29">
        <v>3</v>
      </c>
      <c r="D16" s="29">
        <v>3.77</v>
      </c>
      <c r="E16" s="12" t="s">
        <v>297</v>
      </c>
      <c r="F16" s="29"/>
      <c r="G16" s="29"/>
      <c r="H16" s="29"/>
    </row>
    <row r="17" spans="1:8" ht="12.75" customHeight="1" outlineLevel="1" x14ac:dyDescent="0.2">
      <c r="A17" s="115">
        <v>41599</v>
      </c>
      <c r="B17" s="12" t="s">
        <v>307</v>
      </c>
      <c r="C17" s="29">
        <v>1</v>
      </c>
      <c r="D17" s="29">
        <v>240.88</v>
      </c>
      <c r="E17" s="12" t="s">
        <v>304</v>
      </c>
      <c r="F17" s="93"/>
      <c r="G17" s="12" t="s">
        <v>305</v>
      </c>
      <c r="H17" s="29"/>
    </row>
    <row r="18" spans="1:8" ht="12.75" customHeight="1" outlineLevel="1" x14ac:dyDescent="0.2">
      <c r="A18" s="29"/>
      <c r="B18" s="29"/>
      <c r="C18" s="29"/>
      <c r="D18" s="29"/>
      <c r="E18" s="29"/>
      <c r="F18" s="29"/>
      <c r="G18" s="29"/>
      <c r="H18" s="29"/>
    </row>
    <row r="19" spans="1:8" ht="12.75" customHeight="1" outlineLevel="1" x14ac:dyDescent="0.25">
      <c r="A19" s="29"/>
      <c r="B19" s="29"/>
      <c r="C19" s="29"/>
      <c r="D19" s="90">
        <f>SUM(D12:D17)</f>
        <v>336.96</v>
      </c>
      <c r="E19" s="29"/>
      <c r="F19" s="149">
        <v>41600</v>
      </c>
      <c r="G19" s="29"/>
      <c r="H19" s="185">
        <v>41609</v>
      </c>
    </row>
    <row r="20" spans="1:8" ht="12.75" customHeight="1" outlineLevel="1" x14ac:dyDescent="0.2">
      <c r="A20" s="29"/>
      <c r="B20" s="29"/>
      <c r="C20" s="29"/>
      <c r="E20" s="29"/>
      <c r="F20" s="29"/>
      <c r="G20" s="29"/>
      <c r="H20" s="29"/>
    </row>
    <row r="21" spans="1:8" ht="12.75" customHeight="1" outlineLevel="1" x14ac:dyDescent="0.2">
      <c r="A21" s="29"/>
      <c r="B21" s="74" t="s">
        <v>306</v>
      </c>
      <c r="C21" s="29"/>
      <c r="D21" s="144">
        <f>SUM(D10,D19)</f>
        <v>559.72</v>
      </c>
      <c r="E21" s="29"/>
      <c r="F21" s="29"/>
      <c r="G21" s="29"/>
      <c r="H21" s="29"/>
    </row>
    <row r="22" spans="1:8" ht="12.75" customHeight="1" outlineLevel="1" x14ac:dyDescent="0.2">
      <c r="A22" s="29"/>
      <c r="B22" s="29"/>
      <c r="C22" s="29"/>
      <c r="D22" s="29"/>
      <c r="E22" s="29"/>
      <c r="F22" s="29"/>
      <c r="G22" s="29"/>
      <c r="H22" s="29"/>
    </row>
    <row r="23" spans="1:8" ht="12.75" customHeight="1" outlineLevel="1" x14ac:dyDescent="0.2"/>
    <row r="24" spans="1:8" ht="12.75" customHeight="1" x14ac:dyDescent="0.2">
      <c r="A24" s="29"/>
      <c r="B24" s="29"/>
      <c r="C24" s="29"/>
      <c r="D24" s="29"/>
      <c r="E24" s="29"/>
      <c r="F24" s="29"/>
      <c r="G24" s="29"/>
      <c r="H24" s="29"/>
    </row>
    <row r="25" spans="1:8" ht="12.75" customHeight="1" x14ac:dyDescent="0.2">
      <c r="A25" s="146">
        <v>2014</v>
      </c>
      <c r="B25" s="29"/>
      <c r="C25" s="29"/>
      <c r="D25" s="29"/>
      <c r="E25" s="29"/>
      <c r="F25" s="29"/>
      <c r="G25" s="29"/>
      <c r="H25" s="29"/>
    </row>
    <row r="26" spans="1:8" ht="12.75" customHeight="1" x14ac:dyDescent="0.2">
      <c r="A26" s="93">
        <v>41666</v>
      </c>
      <c r="B26" s="29" t="s">
        <v>876</v>
      </c>
      <c r="C26" s="29"/>
      <c r="D26" s="182">
        <v>76</v>
      </c>
      <c r="E26" s="29" t="s">
        <v>875</v>
      </c>
      <c r="F26" s="29"/>
      <c r="G26" s="29" t="s">
        <v>895</v>
      </c>
      <c r="H26" s="29"/>
    </row>
    <row r="27" spans="1:8" ht="12.75" customHeight="1" x14ac:dyDescent="0.2">
      <c r="A27" s="93">
        <v>41690</v>
      </c>
      <c r="B27" s="29" t="s">
        <v>892</v>
      </c>
      <c r="C27" s="29"/>
      <c r="D27" s="182">
        <v>20</v>
      </c>
      <c r="E27" s="29" t="s">
        <v>893</v>
      </c>
      <c r="F27" s="29"/>
      <c r="G27" s="29" t="s">
        <v>894</v>
      </c>
      <c r="H27" s="29"/>
    </row>
    <row r="28" spans="1:8" ht="12.75" customHeight="1" x14ac:dyDescent="0.2">
      <c r="A28" s="93">
        <v>41718</v>
      </c>
      <c r="B28" s="29" t="s">
        <v>896</v>
      </c>
      <c r="C28" s="29"/>
      <c r="D28" s="182">
        <v>10</v>
      </c>
      <c r="E28" s="29" t="s">
        <v>897</v>
      </c>
      <c r="F28" s="29"/>
      <c r="G28" s="29" t="s">
        <v>898</v>
      </c>
      <c r="H28" s="29"/>
    </row>
    <row r="29" spans="1:8" ht="12.75" customHeight="1" x14ac:dyDescent="0.2">
      <c r="A29" s="29"/>
      <c r="B29" s="29"/>
      <c r="C29" s="29"/>
      <c r="D29" s="98"/>
      <c r="E29" s="29"/>
      <c r="F29" s="29"/>
      <c r="G29" s="29"/>
      <c r="H29" s="29"/>
    </row>
    <row r="30" spans="1:8" ht="12.75" customHeight="1" x14ac:dyDescent="0.2">
      <c r="A30" s="29"/>
      <c r="B30" s="29"/>
      <c r="C30" s="98"/>
      <c r="D30" s="98"/>
      <c r="E30" s="98"/>
      <c r="F30" s="29"/>
      <c r="G30" s="29"/>
      <c r="H30" s="29"/>
    </row>
  </sheetData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1"/>
  <sheetViews>
    <sheetView workbookViewId="0"/>
  </sheetViews>
  <sheetFormatPr defaultColWidth="8.7109375" defaultRowHeight="12.75" customHeight="1" x14ac:dyDescent="0.2"/>
  <sheetData>
    <row r="1" spans="1:256" x14ac:dyDescent="0.2">
      <c r="A1" s="41" t="s">
        <v>122</v>
      </c>
      <c r="B1" s="41" t="e">
        <f>AND(Duty!A1,"AAAAAF/F/QE=")</f>
        <v>#VALUE!</v>
      </c>
      <c r="C1" s="41" t="e">
        <f>AND(Duty!B1,"AAAAAF/F/QI=")</f>
        <v>#VALUE!</v>
      </c>
      <c r="D1" s="41" t="e">
        <f>AND(Duty!C1,"AAAAAF/F/QM=")</f>
        <v>#VALUE!</v>
      </c>
      <c r="E1" s="41" t="e">
        <f>AND(Duty!D1,"AAAAAF/F/QQ=")</f>
        <v>#VALUE!</v>
      </c>
      <c r="F1" s="41" t="e">
        <f>AND(Duty!#REF!,"AAAAAF/F/QU=")</f>
        <v>#REF!</v>
      </c>
      <c r="G1" s="41" t="e">
        <f>AND(Duty!G1,"AAAAAF/F/QY=")</f>
        <v>#VALUE!</v>
      </c>
      <c r="H1" s="41" t="e">
        <f>AND(Duty!H1,"AAAAAF/F/Qc=")</f>
        <v>#VALUE!</v>
      </c>
      <c r="I1" s="41" t="e">
        <f>AND(Duty!I1,"AAAAAF/F/Qg=")</f>
        <v>#VALUE!</v>
      </c>
      <c r="J1" s="41" t="e">
        <f>AND(Duty!J1,"AAAAAF/F/Qk=")</f>
        <v>#VALUE!</v>
      </c>
      <c r="K1" s="41" t="e">
        <f>AND(Duty!K1,"AAAAAF/F/Qo=")</f>
        <v>#VALUE!</v>
      </c>
      <c r="L1" s="41" t="e">
        <f>AND(Duty!L1,"AAAAAF/F/Qs=")</f>
        <v>#VALUE!</v>
      </c>
      <c r="M1" s="41" t="e">
        <f>AND(Duty!M1,"AAAAAF/F/Qw=")</f>
        <v>#VALUE!</v>
      </c>
      <c r="N1" s="41" t="e">
        <f>AND(Duty!#REF!,"AAAAAF/F/Q0=")</f>
        <v>#REF!</v>
      </c>
      <c r="O1" s="41" t="e">
        <f>AND(Duty!N1,"AAAAAF/F/Q4=")</f>
        <v>#VALUE!</v>
      </c>
      <c r="P1" s="41" t="e">
        <f>AND(Duty!#REF!,"AAAAAF/F/Q8=")</f>
        <v>#REF!</v>
      </c>
      <c r="Q1" s="41" t="e">
        <f>AND(Duty!#REF!,"AAAAAF/F/RA=")</f>
        <v>#REF!</v>
      </c>
      <c r="R1" s="41" t="e">
        <f>AND(Duty!#REF!,"AAAAAF/F/RE=")</f>
        <v>#REF!</v>
      </c>
      <c r="S1" s="41" t="e">
        <f>AND(Duty!#REF!,"AAAAAF/F/RI=")</f>
        <v>#REF!</v>
      </c>
      <c r="T1" s="41">
        <v>0</v>
      </c>
      <c r="U1" s="41" t="e">
        <f>AND(Duty!A3,"AAAAAF/F/RQ=")</f>
        <v>#VALUE!</v>
      </c>
      <c r="V1" s="41" t="e">
        <f>AND(Duty!B3,"AAAAAF/F/RU=")</f>
        <v>#VALUE!</v>
      </c>
      <c r="W1" s="41" t="e">
        <f>AND(Duty!C3,"AAAAAF/F/RY=")</f>
        <v>#VALUE!</v>
      </c>
      <c r="X1" s="41" t="e">
        <f>AND(Duty!D3,"AAAAAF/F/Rc=")</f>
        <v>#VALUE!</v>
      </c>
      <c r="Y1" s="41" t="e">
        <f>AND(Duty!#REF!,"AAAAAF/F/Rg=")</f>
        <v>#REF!</v>
      </c>
      <c r="Z1" s="41" t="e">
        <f>AND(Duty!G3,"AAAAAF/F/Rk=")</f>
        <v>#VALUE!</v>
      </c>
      <c r="AA1" s="41" t="e">
        <f>AND(Duty!H3,"AAAAAF/F/Ro=")</f>
        <v>#VALUE!</v>
      </c>
      <c r="AB1" s="41" t="e">
        <f>AND(Duty!I3,"AAAAAF/F/Rs=")</f>
        <v>#VALUE!</v>
      </c>
      <c r="AC1" s="41" t="e">
        <f>AND(Duty!J3,"AAAAAF/F/Rw=")</f>
        <v>#VALUE!</v>
      </c>
      <c r="AD1" s="41" t="e">
        <f>AND(Duty!K3,"AAAAAF/F/R0=")</f>
        <v>#VALUE!</v>
      </c>
      <c r="AE1" s="41" t="e">
        <f>AND(Duty!L3,"AAAAAF/F/R4=")</f>
        <v>#VALUE!</v>
      </c>
      <c r="AF1" s="41" t="e">
        <f>AND(Duty!M3,"AAAAAF/F/R8=")</f>
        <v>#VALUE!</v>
      </c>
      <c r="AG1" s="41" t="e">
        <f>AND(Duty!#REF!,"AAAAAF/F/SA=")</f>
        <v>#REF!</v>
      </c>
      <c r="AH1" s="41" t="e">
        <f>AND(Duty!N3,"AAAAAF/F/SE=")</f>
        <v>#VALUE!</v>
      </c>
      <c r="AI1" s="41" t="e">
        <f>AND(Duty!#REF!,"AAAAAF/F/SI=")</f>
        <v>#REF!</v>
      </c>
      <c r="AJ1" s="41" t="e">
        <f>AND(Duty!#REF!,"AAAAAF/F/SM=")</f>
        <v>#REF!</v>
      </c>
      <c r="AK1" s="41" t="e">
        <f>AND(Duty!#REF!,"AAAAAF/F/SQ=")</f>
        <v>#REF!</v>
      </c>
      <c r="AL1" s="41" t="e">
        <f>AND(Duty!O3,"AAAAAF/F/SU=")</f>
        <v>#VALUE!</v>
      </c>
      <c r="AM1" s="41">
        <v>0</v>
      </c>
      <c r="AN1" s="41" t="e">
        <f>AND(Duty!A4,"AAAAAF/F/Sc=")</f>
        <v>#VALUE!</v>
      </c>
      <c r="AO1" s="41" t="e">
        <f>AND(Duty!B4,"AAAAAF/F/Sg=")</f>
        <v>#VALUE!</v>
      </c>
      <c r="AP1" s="41" t="e">
        <f>AND(Duty!C4,"AAAAAF/F/Sk=")</f>
        <v>#VALUE!</v>
      </c>
      <c r="AQ1" s="41" t="e">
        <f>AND(Duty!D4,"AAAAAF/F/So=")</f>
        <v>#VALUE!</v>
      </c>
      <c r="AR1" s="41" t="e">
        <f>AND(Duty!#REF!,"AAAAAF/F/Ss=")</f>
        <v>#REF!</v>
      </c>
      <c r="AS1" s="41" t="e">
        <f>AND(Duty!G4,"AAAAAF/F/Sw=")</f>
        <v>#VALUE!</v>
      </c>
      <c r="AT1" s="41" t="e">
        <f>AND(Duty!H4,"AAAAAF/F/S0=")</f>
        <v>#VALUE!</v>
      </c>
      <c r="AU1" s="41" t="e">
        <f>AND(Duty!I4,"AAAAAF/F/S4=")</f>
        <v>#VALUE!</v>
      </c>
      <c r="AV1" s="41" t="e">
        <f>AND(Duty!J4,"AAAAAF/F/S8=")</f>
        <v>#VALUE!</v>
      </c>
      <c r="AW1" s="41" t="e">
        <f>AND(Duty!K4,"AAAAAF/F/TA=")</f>
        <v>#VALUE!</v>
      </c>
      <c r="AX1" s="41" t="e">
        <f>AND(Duty!L4,"AAAAAF/F/TE=")</f>
        <v>#VALUE!</v>
      </c>
      <c r="AY1" s="41" t="e">
        <f>AND(Duty!M4,"AAAAAF/F/TI=")</f>
        <v>#VALUE!</v>
      </c>
      <c r="AZ1" s="41" t="e">
        <f>AND(Duty!#REF!,"AAAAAF/F/TM=")</f>
        <v>#REF!</v>
      </c>
      <c r="BA1" s="41" t="e">
        <f>AND(Duty!N4,"AAAAAF/F/TQ=")</f>
        <v>#VALUE!</v>
      </c>
      <c r="BB1" s="41" t="e">
        <f>AND(Duty!#REF!,"AAAAAF/F/TU=")</f>
        <v>#REF!</v>
      </c>
      <c r="BC1" s="41" t="e">
        <f>AND(Duty!#REF!,"AAAAAF/F/TY=")</f>
        <v>#REF!</v>
      </c>
      <c r="BD1" s="41" t="e">
        <f>AND(Duty!#REF!,"AAAAAF/F/Tc=")</f>
        <v>#REF!</v>
      </c>
      <c r="BE1" s="41" t="e">
        <f>AND(Duty!#REF!,"AAAAAF/F/Tg=")</f>
        <v>#REF!</v>
      </c>
      <c r="BF1" s="41">
        <v>0</v>
      </c>
      <c r="BG1" s="41" t="e">
        <f>AND(Duty!A5,"AAAAAF/F/To=")</f>
        <v>#VALUE!</v>
      </c>
      <c r="BH1" s="41" t="e">
        <f>AND(Duty!B5,"AAAAAF/F/Ts=")</f>
        <v>#VALUE!</v>
      </c>
      <c r="BI1" s="41" t="e">
        <f>AND(Duty!C5,"AAAAAF/F/Tw=")</f>
        <v>#VALUE!</v>
      </c>
      <c r="BJ1" s="41" t="e">
        <f>AND(Duty!D5,"AAAAAF/F/T0=")</f>
        <v>#VALUE!</v>
      </c>
      <c r="BK1" s="41" t="e">
        <f>AND(Duty!#REF!,"AAAAAF/F/T4=")</f>
        <v>#REF!</v>
      </c>
      <c r="BL1" s="41" t="e">
        <f>AND(Duty!G5,"AAAAAF/F/T8=")</f>
        <v>#VALUE!</v>
      </c>
      <c r="BM1" s="41" t="e">
        <f>AND(Duty!H5,"AAAAAF/F/UA=")</f>
        <v>#VALUE!</v>
      </c>
      <c r="BN1" s="41" t="e">
        <f>AND(Duty!I5,"AAAAAF/F/UE=")</f>
        <v>#VALUE!</v>
      </c>
      <c r="BO1" s="41" t="e">
        <f>AND(Duty!J5,"AAAAAF/F/UI=")</f>
        <v>#VALUE!</v>
      </c>
      <c r="BP1" s="41" t="e">
        <f>AND(Duty!K5,"AAAAAF/F/UM=")</f>
        <v>#VALUE!</v>
      </c>
      <c r="BQ1" s="41" t="e">
        <f>AND(Duty!L5,"AAAAAF/F/UQ=")</f>
        <v>#VALUE!</v>
      </c>
      <c r="BR1" s="41" t="e">
        <f>AND(Duty!M5,"AAAAAF/F/UU=")</f>
        <v>#VALUE!</v>
      </c>
      <c r="BS1" s="41" t="e">
        <f>AND(Duty!#REF!,"AAAAAF/F/UY=")</f>
        <v>#REF!</v>
      </c>
      <c r="BT1" s="41" t="e">
        <f>AND(Duty!N5,"AAAAAF/F/Uc=")</f>
        <v>#VALUE!</v>
      </c>
      <c r="BU1" s="41" t="e">
        <f>AND(Duty!#REF!,"AAAAAF/F/Ug=")</f>
        <v>#REF!</v>
      </c>
      <c r="BV1" s="41" t="e">
        <f>AND(Duty!#REF!,"AAAAAF/F/Uk=")</f>
        <v>#REF!</v>
      </c>
      <c r="BW1" s="41" t="e">
        <f>AND(Duty!#REF!,"AAAAAF/F/Uo=")</f>
        <v>#REF!</v>
      </c>
      <c r="BX1" s="41" t="e">
        <f>AND(Duty!O5,"AAAAAF/F/Us=")</f>
        <v>#VALUE!</v>
      </c>
      <c r="BY1" s="41">
        <v>0</v>
      </c>
      <c r="BZ1" s="41" t="e">
        <f>AND(Duty!A6,"AAAAAF/F/U0=")</f>
        <v>#VALUE!</v>
      </c>
      <c r="CA1" s="41" t="e">
        <f>AND(Duty!B6,"AAAAAF/F/U4=")</f>
        <v>#VALUE!</v>
      </c>
      <c r="CB1" s="41" t="e">
        <f>AND(Duty!C6,"AAAAAF/F/U8=")</f>
        <v>#VALUE!</v>
      </c>
      <c r="CC1" s="41" t="e">
        <f>AND(Duty!D6,"AAAAAF/F/VA=")</f>
        <v>#VALUE!</v>
      </c>
      <c r="CD1" s="41" t="e">
        <f>AND(Duty!#REF!,"AAAAAF/F/VE=")</f>
        <v>#REF!</v>
      </c>
      <c r="CE1" s="41" t="e">
        <f>AND(Duty!G6,"AAAAAF/F/VI=")</f>
        <v>#VALUE!</v>
      </c>
      <c r="CF1" s="41" t="e">
        <f>AND(Duty!H6,"AAAAAF/F/VM=")</f>
        <v>#VALUE!</v>
      </c>
      <c r="CG1" s="41" t="e">
        <f>AND(Duty!I6,"AAAAAF/F/VQ=")</f>
        <v>#VALUE!</v>
      </c>
      <c r="CH1" s="41" t="e">
        <f>AND(Duty!J6,"AAAAAF/F/VU=")</f>
        <v>#VALUE!</v>
      </c>
      <c r="CI1" s="41" t="e">
        <f>AND(Duty!K6,"AAAAAF/F/VY=")</f>
        <v>#VALUE!</v>
      </c>
      <c r="CJ1" s="41" t="e">
        <f>AND(Duty!L6,"AAAAAF/F/Vc=")</f>
        <v>#VALUE!</v>
      </c>
      <c r="CK1" s="41" t="e">
        <f>AND(Duty!M6,"AAAAAF/F/Vg=")</f>
        <v>#VALUE!</v>
      </c>
      <c r="CL1" s="41" t="e">
        <f>AND(Duty!#REF!,"AAAAAF/F/Vk=")</f>
        <v>#REF!</v>
      </c>
      <c r="CM1" s="41" t="e">
        <f>AND(Duty!N6,"AAAAAF/F/Vo=")</f>
        <v>#VALUE!</v>
      </c>
      <c r="CN1" s="41" t="e">
        <f>AND(Duty!#REF!,"AAAAAF/F/Vs=")</f>
        <v>#REF!</v>
      </c>
      <c r="CO1" s="41" t="e">
        <f>AND(Duty!#REF!,"AAAAAF/F/Vw=")</f>
        <v>#REF!</v>
      </c>
      <c r="CP1" s="41" t="e">
        <f>AND(Duty!#REF!,"AAAAAF/F/V0=")</f>
        <v>#REF!</v>
      </c>
      <c r="CQ1" s="41" t="e">
        <f>AND(Duty!O6,"AAAAAF/F/V4=")</f>
        <v>#VALUE!</v>
      </c>
      <c r="CR1" s="41">
        <v>0</v>
      </c>
      <c r="CS1" s="41" t="e">
        <f>AND(Duty!A7,"AAAAAF/F/WA=")</f>
        <v>#VALUE!</v>
      </c>
      <c r="CT1" s="41" t="e">
        <f>AND(Duty!B7,"AAAAAF/F/WE=")</f>
        <v>#VALUE!</v>
      </c>
      <c r="CU1" s="41" t="e">
        <f>AND(Duty!C7,"AAAAAF/F/WI=")</f>
        <v>#VALUE!</v>
      </c>
      <c r="CV1" s="41" t="e">
        <f>AND(Duty!D7,"AAAAAF/F/WM=")</f>
        <v>#VALUE!</v>
      </c>
      <c r="CW1" s="41" t="e">
        <f>AND(Duty!#REF!,"AAAAAF/F/WQ=")</f>
        <v>#REF!</v>
      </c>
      <c r="CX1" s="41" t="e">
        <f>AND(Duty!G7,"AAAAAF/F/WU=")</f>
        <v>#VALUE!</v>
      </c>
      <c r="CY1" s="41" t="e">
        <f>AND(Duty!H7,"AAAAAF/F/WY=")</f>
        <v>#VALUE!</v>
      </c>
      <c r="CZ1" s="41" t="e">
        <f>AND(Duty!I7,"AAAAAF/F/Wc=")</f>
        <v>#VALUE!</v>
      </c>
      <c r="DA1" s="41" t="e">
        <f>AND(Duty!J7,"AAAAAF/F/Wg=")</f>
        <v>#VALUE!</v>
      </c>
      <c r="DB1" s="41" t="e">
        <f>AND(Duty!K7,"AAAAAF/F/Wk=")</f>
        <v>#VALUE!</v>
      </c>
      <c r="DC1" s="41" t="e">
        <f>AND(Duty!L7,"AAAAAF/F/Wo=")</f>
        <v>#VALUE!</v>
      </c>
      <c r="DD1" s="41" t="e">
        <f>AND(Duty!M7,"AAAAAF/F/Ws=")</f>
        <v>#VALUE!</v>
      </c>
      <c r="DE1" s="41" t="e">
        <f>AND(Duty!#REF!,"AAAAAF/F/Ww=")</f>
        <v>#REF!</v>
      </c>
      <c r="DF1" s="41" t="e">
        <f>AND(Duty!N7,"AAAAAF/F/W0=")</f>
        <v>#VALUE!</v>
      </c>
      <c r="DG1" s="41" t="e">
        <f>AND(Duty!#REF!,"AAAAAF/F/W4=")</f>
        <v>#REF!</v>
      </c>
      <c r="DH1" s="41" t="e">
        <f>AND(Duty!#REF!,"AAAAAF/F/W8=")</f>
        <v>#REF!</v>
      </c>
      <c r="DI1" s="41" t="e">
        <f>AND(Duty!#REF!,"AAAAAF/F/XA=")</f>
        <v>#REF!</v>
      </c>
      <c r="DJ1" s="41" t="e">
        <f>AND(Duty!O7,"AAAAAF/F/XE=")</f>
        <v>#VALUE!</v>
      </c>
      <c r="DK1" s="41">
        <v>0</v>
      </c>
      <c r="DL1" s="41" t="e">
        <f>AND(Duty!A8,"AAAAAF/F/XM=")</f>
        <v>#VALUE!</v>
      </c>
      <c r="DM1" s="41" t="e">
        <f>AND(Duty!B8,"AAAAAF/F/XQ=")</f>
        <v>#VALUE!</v>
      </c>
      <c r="DN1" s="41" t="e">
        <f>AND(Duty!C8,"AAAAAF/F/XU=")</f>
        <v>#VALUE!</v>
      </c>
      <c r="DO1" s="41" t="e">
        <f>AND(Duty!D8,"AAAAAF/F/XY=")</f>
        <v>#VALUE!</v>
      </c>
      <c r="DP1" s="41" t="e">
        <f>AND(Duty!#REF!,"AAAAAF/F/Xc=")</f>
        <v>#REF!</v>
      </c>
      <c r="DQ1" s="41" t="e">
        <f>AND(Duty!G8,"AAAAAF/F/Xg=")</f>
        <v>#VALUE!</v>
      </c>
      <c r="DR1" s="41" t="e">
        <f>AND(Duty!H8,"AAAAAF/F/Xk=")</f>
        <v>#VALUE!</v>
      </c>
      <c r="DS1" s="41" t="e">
        <f>AND(Duty!I8,"AAAAAF/F/Xo=")</f>
        <v>#VALUE!</v>
      </c>
      <c r="DT1" s="41" t="e">
        <f>AND(Duty!J8,"AAAAAF/F/Xs=")</f>
        <v>#VALUE!</v>
      </c>
      <c r="DU1" s="41" t="e">
        <f>AND(Duty!K8,"AAAAAF/F/Xw=")</f>
        <v>#VALUE!</v>
      </c>
      <c r="DV1" s="41" t="e">
        <f>AND(Duty!L8,"AAAAAF/F/X0=")</f>
        <v>#VALUE!</v>
      </c>
      <c r="DW1" s="41" t="e">
        <f>AND(Duty!M8,"AAAAAF/F/X4=")</f>
        <v>#VALUE!</v>
      </c>
      <c r="DX1" s="41" t="e">
        <f>AND(Duty!#REF!,"AAAAAF/F/X8=")</f>
        <v>#REF!</v>
      </c>
      <c r="DY1" s="41" t="e">
        <f>AND(Duty!N8,"AAAAAF/F/YA=")</f>
        <v>#VALUE!</v>
      </c>
      <c r="DZ1" s="41" t="e">
        <f>AND(Duty!#REF!,"AAAAAF/F/YE=")</f>
        <v>#REF!</v>
      </c>
      <c r="EA1" s="41" t="e">
        <f>AND(Duty!#REF!,"AAAAAF/F/YI=")</f>
        <v>#REF!</v>
      </c>
      <c r="EB1" s="41" t="e">
        <f>AND(Duty!#REF!,"AAAAAF/F/YM=")</f>
        <v>#REF!</v>
      </c>
      <c r="EC1" s="41" t="e">
        <f>AND(Duty!O8,"AAAAAF/F/YQ=")</f>
        <v>#VALUE!</v>
      </c>
      <c r="ED1" s="41">
        <v>0</v>
      </c>
      <c r="EE1" s="41" t="e">
        <f>AND(Duty!A9,"AAAAAF/F/YY=")</f>
        <v>#VALUE!</v>
      </c>
      <c r="EF1" s="41" t="e">
        <f>AND(Duty!B9,"AAAAAF/F/Yc=")</f>
        <v>#VALUE!</v>
      </c>
      <c r="EG1" s="41" t="e">
        <f>AND(Duty!C9,"AAAAAF/F/Yg=")</f>
        <v>#VALUE!</v>
      </c>
      <c r="EH1" s="41" t="e">
        <f>AND(Duty!D9,"AAAAAF/F/Yk=")</f>
        <v>#VALUE!</v>
      </c>
      <c r="EI1" s="41" t="e">
        <f>AND(Duty!#REF!,"AAAAAF/F/Yo=")</f>
        <v>#REF!</v>
      </c>
      <c r="EJ1" s="41" t="e">
        <f>AND(Duty!G9,"AAAAAF/F/Ys=")</f>
        <v>#VALUE!</v>
      </c>
      <c r="EK1" s="41" t="e">
        <f>AND(Duty!H9,"AAAAAF/F/Yw=")</f>
        <v>#VALUE!</v>
      </c>
      <c r="EL1" s="41" t="e">
        <f>AND(Duty!I9,"AAAAAF/F/Y0=")</f>
        <v>#VALUE!</v>
      </c>
      <c r="EM1" s="41" t="e">
        <f>AND(Duty!J9,"AAAAAF/F/Y4=")</f>
        <v>#VALUE!</v>
      </c>
      <c r="EN1" s="41" t="e">
        <f>AND(Duty!K9,"AAAAAF/F/Y8=")</f>
        <v>#VALUE!</v>
      </c>
      <c r="EO1" s="41" t="e">
        <f>AND(Duty!L9,"AAAAAF/F/ZA=")</f>
        <v>#VALUE!</v>
      </c>
      <c r="EP1" s="41" t="e">
        <f>AND(Duty!M9,"AAAAAF/F/ZE=")</f>
        <v>#VALUE!</v>
      </c>
      <c r="EQ1" s="41" t="e">
        <f>AND(Duty!#REF!,"AAAAAF/F/ZI=")</f>
        <v>#REF!</v>
      </c>
      <c r="ER1" s="41" t="e">
        <f>AND(Duty!N9,"AAAAAF/F/ZM=")</f>
        <v>#VALUE!</v>
      </c>
      <c r="ES1" s="41" t="e">
        <f>AND(Duty!#REF!,"AAAAAF/F/ZQ=")</f>
        <v>#REF!</v>
      </c>
      <c r="ET1" s="41" t="e">
        <f>AND(Duty!#REF!,"AAAAAF/F/ZU=")</f>
        <v>#REF!</v>
      </c>
      <c r="EU1" s="41" t="e">
        <f>AND(Duty!#REF!,"AAAAAF/F/ZY=")</f>
        <v>#REF!</v>
      </c>
      <c r="EV1" s="41" t="e">
        <f>AND(Duty!O9,"AAAAAF/F/Zc=")</f>
        <v>#VALUE!</v>
      </c>
      <c r="EW1" s="41">
        <v>0</v>
      </c>
      <c r="EX1" s="41" t="e">
        <f>AND(Duty!A10,"AAAAAF/F/Zk=")</f>
        <v>#VALUE!</v>
      </c>
      <c r="EY1" s="41" t="e">
        <f>AND(Duty!B10,"AAAAAF/F/Zo=")</f>
        <v>#VALUE!</v>
      </c>
      <c r="EZ1" s="41" t="e">
        <f>AND(Duty!C10,"AAAAAF/F/Zs=")</f>
        <v>#VALUE!</v>
      </c>
      <c r="FA1" s="41" t="e">
        <f>AND(Duty!D10,"AAAAAF/F/Zw=")</f>
        <v>#VALUE!</v>
      </c>
      <c r="FB1" s="41" t="e">
        <f>AND(Duty!#REF!,"AAAAAF/F/Z0=")</f>
        <v>#REF!</v>
      </c>
      <c r="FC1" s="41" t="e">
        <f>AND(Duty!G10,"AAAAAF/F/Z4=")</f>
        <v>#VALUE!</v>
      </c>
      <c r="FD1" s="41" t="e">
        <f>AND(Duty!H10,"AAAAAF/F/Z8=")</f>
        <v>#VALUE!</v>
      </c>
      <c r="FE1" s="41" t="e">
        <f>AND(Duty!I10,"AAAAAF/F/aA=")</f>
        <v>#VALUE!</v>
      </c>
      <c r="FF1" s="41" t="e">
        <f>AND(Duty!J10,"AAAAAF/F/aE=")</f>
        <v>#VALUE!</v>
      </c>
      <c r="FG1" s="41" t="e">
        <f>AND(Duty!K10,"AAAAAF/F/aI=")</f>
        <v>#VALUE!</v>
      </c>
      <c r="FH1" s="41" t="e">
        <f>AND(Duty!L10,"AAAAAF/F/aM=")</f>
        <v>#VALUE!</v>
      </c>
      <c r="FI1" s="41" t="e">
        <f>AND(Duty!M10,"AAAAAF/F/aQ=")</f>
        <v>#VALUE!</v>
      </c>
      <c r="FJ1" s="41" t="e">
        <f>AND(Duty!#REF!,"AAAAAF/F/aU=")</f>
        <v>#REF!</v>
      </c>
      <c r="FK1" s="41" t="e">
        <f>AND(Duty!N10,"AAAAAF/F/aY=")</f>
        <v>#VALUE!</v>
      </c>
      <c r="FL1" s="41" t="e">
        <f>AND(Duty!#REF!,"AAAAAF/F/ac=")</f>
        <v>#REF!</v>
      </c>
      <c r="FM1" s="41" t="e">
        <f>AND(Duty!#REF!,"AAAAAF/F/ag=")</f>
        <v>#REF!</v>
      </c>
      <c r="FN1" s="41" t="e">
        <f>AND(Duty!#REF!,"AAAAAF/F/ak=")</f>
        <v>#REF!</v>
      </c>
      <c r="FO1" s="41" t="e">
        <f>AND(Duty!O10,"AAAAAF/F/ao=")</f>
        <v>#VALUE!</v>
      </c>
      <c r="FP1" s="41">
        <v>0</v>
      </c>
      <c r="FQ1" s="41" t="e">
        <f>AND(Duty!A11,"AAAAAF/F/aw=")</f>
        <v>#VALUE!</v>
      </c>
      <c r="FR1" s="41" t="e">
        <f>AND(Duty!B11,"AAAAAF/F/a0=")</f>
        <v>#VALUE!</v>
      </c>
      <c r="FS1" s="41" t="e">
        <f>AND(Duty!C11,"AAAAAF/F/a4=")</f>
        <v>#VALUE!</v>
      </c>
      <c r="FT1" s="41" t="e">
        <f>AND(Duty!D11,"AAAAAF/F/a8=")</f>
        <v>#VALUE!</v>
      </c>
      <c r="FU1" s="41" t="e">
        <f>AND(Duty!#REF!,"AAAAAF/F/bA=")</f>
        <v>#REF!</v>
      </c>
      <c r="FV1" s="41" t="e">
        <f>AND(Duty!G11,"AAAAAF/F/bE=")</f>
        <v>#VALUE!</v>
      </c>
      <c r="FW1" s="41" t="e">
        <f>AND(Duty!H11,"AAAAAF/F/bI=")</f>
        <v>#VALUE!</v>
      </c>
      <c r="FX1" s="41" t="e">
        <f>AND(Duty!I11,"AAAAAF/F/bM=")</f>
        <v>#VALUE!</v>
      </c>
      <c r="FY1" s="41" t="e">
        <f>AND(Duty!J11,"AAAAAF/F/bQ=")</f>
        <v>#VALUE!</v>
      </c>
      <c r="FZ1" s="41" t="e">
        <f>AND(Duty!K11,"AAAAAF/F/bU=")</f>
        <v>#VALUE!</v>
      </c>
      <c r="GA1" s="41" t="e">
        <f>AND(Duty!L11,"AAAAAF/F/bY=")</f>
        <v>#VALUE!</v>
      </c>
      <c r="GB1" s="41" t="e">
        <f>AND(Duty!M11,"AAAAAF/F/bc=")</f>
        <v>#VALUE!</v>
      </c>
      <c r="GC1" s="41" t="e">
        <f>AND(Duty!#REF!,"AAAAAF/F/bg=")</f>
        <v>#REF!</v>
      </c>
      <c r="GD1" s="41" t="e">
        <f>AND(Duty!N11,"AAAAAF/F/bk=")</f>
        <v>#VALUE!</v>
      </c>
      <c r="GE1" s="41" t="e">
        <f>AND(Duty!#REF!,"AAAAAF/F/bo=")</f>
        <v>#REF!</v>
      </c>
      <c r="GF1" s="41" t="e">
        <f>AND(Duty!#REF!,"AAAAAF/F/bs=")</f>
        <v>#REF!</v>
      </c>
      <c r="GG1" s="41" t="e">
        <f>AND(Duty!#REF!,"AAAAAF/F/bw=")</f>
        <v>#REF!</v>
      </c>
      <c r="GH1" s="41" t="e">
        <f>AND(Duty!O11,"AAAAAF/F/b0=")</f>
        <v>#VALUE!</v>
      </c>
      <c r="GI1" s="41">
        <v>0</v>
      </c>
      <c r="GJ1" s="41" t="e">
        <f>AND(Duty!A12,"AAAAAF/F/b8=")</f>
        <v>#VALUE!</v>
      </c>
      <c r="GK1" s="41" t="e">
        <f>AND(Duty!B12,"AAAAAF/F/cA=")</f>
        <v>#VALUE!</v>
      </c>
      <c r="GL1" s="41" t="e">
        <f>AND(Duty!C12,"AAAAAF/F/cE=")</f>
        <v>#VALUE!</v>
      </c>
      <c r="GM1" s="41" t="e">
        <f>AND(Duty!D12,"AAAAAF/F/cI=")</f>
        <v>#VALUE!</v>
      </c>
      <c r="GN1" s="41" t="e">
        <f>AND(Duty!#REF!,"AAAAAF/F/cM=")</f>
        <v>#REF!</v>
      </c>
      <c r="GO1" s="41" t="e">
        <f>AND(Duty!G12,"AAAAAF/F/cQ=")</f>
        <v>#VALUE!</v>
      </c>
      <c r="GP1" s="41" t="e">
        <f>AND(Duty!H12,"AAAAAF/F/cU=")</f>
        <v>#VALUE!</v>
      </c>
      <c r="GQ1" s="41" t="e">
        <f>AND(Duty!I12,"AAAAAF/F/cY=")</f>
        <v>#VALUE!</v>
      </c>
      <c r="GR1" s="41" t="e">
        <f>AND(Duty!J12,"AAAAAF/F/cc=")</f>
        <v>#VALUE!</v>
      </c>
      <c r="GS1" s="41" t="e">
        <f>AND(Duty!K12,"AAAAAF/F/cg=")</f>
        <v>#VALUE!</v>
      </c>
      <c r="GT1" s="41" t="e">
        <f>AND(Duty!L12,"AAAAAF/F/ck=")</f>
        <v>#VALUE!</v>
      </c>
      <c r="GU1" s="41" t="e">
        <f>AND(Duty!M12,"AAAAAF/F/co=")</f>
        <v>#VALUE!</v>
      </c>
      <c r="GV1" s="41" t="e">
        <f>AND(Duty!#REF!,"AAAAAF/F/cs=")</f>
        <v>#REF!</v>
      </c>
      <c r="GW1" s="41" t="e">
        <f>AND(Duty!N12,"AAAAAF/F/cw=")</f>
        <v>#VALUE!</v>
      </c>
      <c r="GX1" s="41" t="e">
        <f>AND(Duty!#REF!,"AAAAAF/F/c0=")</f>
        <v>#REF!</v>
      </c>
      <c r="GY1" s="41" t="e">
        <f>AND(Duty!#REF!,"AAAAAF/F/c4=")</f>
        <v>#REF!</v>
      </c>
      <c r="GZ1" s="41" t="e">
        <f>AND(Duty!#REF!,"AAAAAF/F/c8=")</f>
        <v>#REF!</v>
      </c>
      <c r="HA1" s="41" t="e">
        <f>AND(Duty!O12,"AAAAAF/F/dA=")</f>
        <v>#VALUE!</v>
      </c>
      <c r="HB1" s="41">
        <v>0</v>
      </c>
      <c r="HC1" s="41" t="e">
        <f>AND(Duty!A13,"AAAAAF/F/dI=")</f>
        <v>#VALUE!</v>
      </c>
      <c r="HD1" s="41" t="e">
        <f>AND(Duty!B13,"AAAAAF/F/dM=")</f>
        <v>#VALUE!</v>
      </c>
      <c r="HE1" s="41" t="e">
        <f>AND(Duty!C13,"AAAAAF/F/dQ=")</f>
        <v>#VALUE!</v>
      </c>
      <c r="HF1" s="41" t="e">
        <f>AND(Duty!D13,"AAAAAF/F/dU=")</f>
        <v>#VALUE!</v>
      </c>
      <c r="HG1" s="41" t="e">
        <f>AND(Duty!#REF!,"AAAAAF/F/dY=")</f>
        <v>#REF!</v>
      </c>
      <c r="HH1" s="41" t="e">
        <f>AND(Duty!G13,"AAAAAF/F/dc=")</f>
        <v>#VALUE!</v>
      </c>
      <c r="HI1" s="41" t="e">
        <f>AND(Duty!H13,"AAAAAF/F/dg=")</f>
        <v>#VALUE!</v>
      </c>
      <c r="HJ1" s="41" t="e">
        <f>AND(Duty!I13,"AAAAAF/F/dk=")</f>
        <v>#VALUE!</v>
      </c>
      <c r="HK1" s="41" t="e">
        <f>AND(Duty!J13,"AAAAAF/F/do=")</f>
        <v>#VALUE!</v>
      </c>
      <c r="HL1" s="41" t="e">
        <f>AND(Duty!K13,"AAAAAF/F/ds=")</f>
        <v>#VALUE!</v>
      </c>
      <c r="HM1" s="41" t="e">
        <f>AND(Duty!L13,"AAAAAF/F/dw=")</f>
        <v>#VALUE!</v>
      </c>
      <c r="HN1" s="41" t="e">
        <f>AND(Duty!M13,"AAAAAF/F/d0=")</f>
        <v>#VALUE!</v>
      </c>
      <c r="HO1" s="41" t="e">
        <f>AND(Duty!#REF!,"AAAAAF/F/d4=")</f>
        <v>#REF!</v>
      </c>
      <c r="HP1" s="41" t="e">
        <f>AND(Duty!N13,"AAAAAF/F/d8=")</f>
        <v>#VALUE!</v>
      </c>
      <c r="HQ1" s="41" t="e">
        <f>AND(Duty!#REF!,"AAAAAF/F/eA=")</f>
        <v>#REF!</v>
      </c>
      <c r="HR1" s="41" t="e">
        <f>AND(Duty!#REF!,"AAAAAF/F/eE=")</f>
        <v>#REF!</v>
      </c>
      <c r="HS1" s="41" t="e">
        <f>AND(Duty!#REF!,"AAAAAF/F/eI=")</f>
        <v>#REF!</v>
      </c>
      <c r="HT1" s="41" t="e">
        <f>AND(Duty!O13,"AAAAAF/F/eM=")</f>
        <v>#VALUE!</v>
      </c>
      <c r="HU1" s="41" t="e">
        <f>IF(Duty!#REF!,"AAAAAF/F/eQ=",0)</f>
        <v>#REF!</v>
      </c>
      <c r="HV1" s="41" t="e">
        <f>AND(Duty!#REF!,"AAAAAF/F/eU=")</f>
        <v>#REF!</v>
      </c>
      <c r="HW1" s="41" t="e">
        <f>AND(Duty!#REF!,"AAAAAF/F/eY=")</f>
        <v>#REF!</v>
      </c>
      <c r="HX1" s="41" t="e">
        <f>AND(Duty!#REF!,"AAAAAF/F/ec=")</f>
        <v>#REF!</v>
      </c>
      <c r="HY1" s="41" t="e">
        <f>AND(Duty!#REF!,"AAAAAF/F/eg=")</f>
        <v>#REF!</v>
      </c>
      <c r="HZ1" s="41" t="e">
        <f>AND(Duty!#REF!,"AAAAAF/F/ek=")</f>
        <v>#REF!</v>
      </c>
      <c r="IA1" s="41" t="e">
        <f>AND(Duty!#REF!,"AAAAAF/F/eo=")</f>
        <v>#REF!</v>
      </c>
      <c r="IB1" s="41" t="e">
        <f>AND(Duty!#REF!,"AAAAAF/F/es=")</f>
        <v>#REF!</v>
      </c>
      <c r="IC1" s="41" t="e">
        <f>AND(Duty!#REF!,"AAAAAF/F/ew=")</f>
        <v>#REF!</v>
      </c>
      <c r="ID1" s="41" t="e">
        <f>AND(Duty!#REF!,"AAAAAF/F/e0=")</f>
        <v>#REF!</v>
      </c>
      <c r="IE1" s="41" t="e">
        <f>AND(Duty!#REF!,"AAAAAF/F/e4=")</f>
        <v>#REF!</v>
      </c>
      <c r="IF1" s="41" t="e">
        <f>AND(Duty!#REF!,"AAAAAF/F/e8=")</f>
        <v>#REF!</v>
      </c>
      <c r="IG1" s="41" t="e">
        <f>AND(Duty!#REF!,"AAAAAF/F/fA=")</f>
        <v>#REF!</v>
      </c>
      <c r="IH1" s="41" t="e">
        <f>AND(Duty!#REF!,"AAAAAF/F/fE=")</f>
        <v>#REF!</v>
      </c>
      <c r="II1" s="41" t="e">
        <f>AND(Duty!#REF!,"AAAAAF/F/fI=")</f>
        <v>#REF!</v>
      </c>
      <c r="IJ1" s="41" t="e">
        <f>AND(Duty!#REF!,"AAAAAF/F/fM=")</f>
        <v>#REF!</v>
      </c>
      <c r="IK1" s="41" t="e">
        <f>AND(Duty!#REF!,"AAAAAF/F/fQ=")</f>
        <v>#REF!</v>
      </c>
      <c r="IL1" s="41" t="e">
        <f>AND(Duty!#REF!,"AAAAAF/F/fU=")</f>
        <v>#REF!</v>
      </c>
      <c r="IM1" s="41" t="e">
        <f>AND(Duty!#REF!,"AAAAAF/F/fY=")</f>
        <v>#REF!</v>
      </c>
      <c r="IN1" s="41">
        <v>0</v>
      </c>
      <c r="IO1" s="41" t="e">
        <f>AND(Duty!A14,"AAAAAF/F/fg=")</f>
        <v>#VALUE!</v>
      </c>
      <c r="IP1" s="41" t="e">
        <f>AND(Duty!B14,"AAAAAF/F/fk=")</f>
        <v>#VALUE!</v>
      </c>
      <c r="IQ1" s="41" t="e">
        <f>AND(Duty!C14,"AAAAAF/F/fo=")</f>
        <v>#VALUE!</v>
      </c>
      <c r="IR1" s="41" t="e">
        <f>AND(Duty!D14,"AAAAAF/F/fs=")</f>
        <v>#VALUE!</v>
      </c>
      <c r="IS1" s="41" t="e">
        <f>AND(Duty!#REF!,"AAAAAF/F/fw=")</f>
        <v>#REF!</v>
      </c>
      <c r="IT1" s="41" t="e">
        <f>AND(Duty!G14,"AAAAAF/F/f0=")</f>
        <v>#VALUE!</v>
      </c>
      <c r="IU1" s="41" t="e">
        <f>AND(Duty!H14,"AAAAAF/F/f4=")</f>
        <v>#VALUE!</v>
      </c>
      <c r="IV1" s="41" t="e">
        <f>AND(Duty!I14,"AAAAAF/F/f8=")</f>
        <v>#VALUE!</v>
      </c>
    </row>
    <row r="2" spans="1:256" x14ac:dyDescent="0.2">
      <c r="A2" s="41" t="e">
        <f>AND(Duty!J14,"AAAAAG/3vwA=")</f>
        <v>#VALUE!</v>
      </c>
      <c r="B2" s="41" t="e">
        <f>AND(Duty!K14,"AAAAAG/3vwE=")</f>
        <v>#VALUE!</v>
      </c>
      <c r="C2" s="41" t="e">
        <f>AND(Duty!L14,"AAAAAG/3vwI=")</f>
        <v>#VALUE!</v>
      </c>
      <c r="D2" s="41" t="e">
        <f>AND(Duty!M14,"AAAAAG/3vwM=")</f>
        <v>#VALUE!</v>
      </c>
      <c r="E2" s="41" t="e">
        <f>AND(Duty!#REF!,"AAAAAG/3vwQ=")</f>
        <v>#REF!</v>
      </c>
      <c r="F2" s="41" t="e">
        <f>AND(Duty!N14,"AAAAAG/3vwU=")</f>
        <v>#VALUE!</v>
      </c>
      <c r="G2" s="41" t="e">
        <f>AND(Duty!#REF!,"AAAAAG/3vwY=")</f>
        <v>#REF!</v>
      </c>
      <c r="H2" s="41" t="e">
        <f>AND(Duty!#REF!,"AAAAAG/3vwc=")</f>
        <v>#REF!</v>
      </c>
      <c r="I2" s="41" t="e">
        <f>AND(Duty!#REF!,"AAAAAG/3vwg=")</f>
        <v>#REF!</v>
      </c>
      <c r="J2" s="41" t="e">
        <f>AND(Duty!O14,"AAAAAG/3vwk=")</f>
        <v>#VALUE!</v>
      </c>
      <c r="K2" s="41">
        <v>0</v>
      </c>
      <c r="L2" s="41" t="e">
        <f>AND(Duty!A15,"AAAAAG/3vws=")</f>
        <v>#VALUE!</v>
      </c>
      <c r="M2" s="41" t="e">
        <f>AND(Duty!B15,"AAAAAG/3vww=")</f>
        <v>#VALUE!</v>
      </c>
      <c r="N2" s="41" t="e">
        <f>AND(Duty!C15,"AAAAAG/3vw0=")</f>
        <v>#VALUE!</v>
      </c>
      <c r="O2" s="41" t="e">
        <f>AND(Duty!D15,"AAAAAG/3vw4=")</f>
        <v>#VALUE!</v>
      </c>
      <c r="P2" s="41" t="e">
        <f>AND(Duty!#REF!,"AAAAAG/3vw8=")</f>
        <v>#REF!</v>
      </c>
      <c r="Q2" s="41" t="e">
        <f>AND(Duty!G15,"AAAAAG/3vxA=")</f>
        <v>#VALUE!</v>
      </c>
      <c r="R2" s="41" t="e">
        <f>AND(Duty!H15,"AAAAAG/3vxE=")</f>
        <v>#VALUE!</v>
      </c>
      <c r="S2" s="41" t="e">
        <f>AND(Duty!I15,"AAAAAG/3vxI=")</f>
        <v>#VALUE!</v>
      </c>
      <c r="T2" s="41" t="e">
        <f>AND(Duty!J15,"AAAAAG/3vxM=")</f>
        <v>#VALUE!</v>
      </c>
      <c r="U2" s="41" t="e">
        <f>AND(Duty!K15,"AAAAAG/3vxQ=")</f>
        <v>#VALUE!</v>
      </c>
      <c r="V2" s="41" t="e">
        <f>AND(Duty!L15,"AAAAAG/3vxU=")</f>
        <v>#VALUE!</v>
      </c>
      <c r="W2" s="41" t="e">
        <f>AND(Duty!M15,"AAAAAG/3vxY=")</f>
        <v>#VALUE!</v>
      </c>
      <c r="X2" s="41" t="e">
        <f>AND(Duty!#REF!,"AAAAAG/3vxc=")</f>
        <v>#REF!</v>
      </c>
      <c r="Y2" s="41" t="e">
        <f>AND(Duty!N15,"AAAAAG/3vxg=")</f>
        <v>#VALUE!</v>
      </c>
      <c r="Z2" s="41" t="e">
        <f>AND(Duty!#REF!,"AAAAAG/3vxk=")</f>
        <v>#REF!</v>
      </c>
      <c r="AA2" s="41" t="e">
        <f>AND(Duty!#REF!,"AAAAAG/3vxo=")</f>
        <v>#REF!</v>
      </c>
      <c r="AB2" s="41" t="e">
        <f>AND(Duty!#REF!,"AAAAAG/3vxs=")</f>
        <v>#REF!</v>
      </c>
      <c r="AC2" s="41" t="e">
        <f>AND(Duty!O15,"AAAAAG/3vxw=")</f>
        <v>#VALUE!</v>
      </c>
      <c r="AD2" s="41">
        <v>0</v>
      </c>
      <c r="AE2" s="41" t="e">
        <f>AND(Duty!A16,"AAAAAG/3vx4=")</f>
        <v>#VALUE!</v>
      </c>
      <c r="AF2" s="41" t="e">
        <f>AND(Duty!B16,"AAAAAG/3vx8=")</f>
        <v>#VALUE!</v>
      </c>
      <c r="AG2" s="41" t="e">
        <f>AND(Duty!C16,"AAAAAG/3vyA=")</f>
        <v>#VALUE!</v>
      </c>
      <c r="AH2" s="41" t="e">
        <f>AND(Duty!D16,"AAAAAG/3vyE=")</f>
        <v>#VALUE!</v>
      </c>
      <c r="AI2" s="41" t="e">
        <f>AND(Duty!#REF!,"AAAAAG/3vyI=")</f>
        <v>#REF!</v>
      </c>
      <c r="AJ2" s="41" t="e">
        <f>AND(Duty!G16,"AAAAAG/3vyM=")</f>
        <v>#VALUE!</v>
      </c>
      <c r="AK2" s="41" t="e">
        <f>AND(Duty!H16,"AAAAAG/3vyQ=")</f>
        <v>#VALUE!</v>
      </c>
      <c r="AL2" s="41" t="e">
        <f>AND(Duty!I16,"AAAAAG/3vyU=")</f>
        <v>#VALUE!</v>
      </c>
      <c r="AM2" s="41" t="e">
        <f>AND(Duty!J16,"AAAAAG/3vyY=")</f>
        <v>#VALUE!</v>
      </c>
      <c r="AN2" s="41" t="e">
        <f>AND(Duty!K16,"AAAAAG/3vyc=")</f>
        <v>#VALUE!</v>
      </c>
      <c r="AO2" s="41" t="e">
        <f>AND(Duty!L16,"AAAAAG/3vyg=")</f>
        <v>#VALUE!</v>
      </c>
      <c r="AP2" s="41" t="e">
        <f>AND(Duty!M16,"AAAAAG/3vyk=")</f>
        <v>#VALUE!</v>
      </c>
      <c r="AQ2" s="41" t="e">
        <f>AND(Duty!#REF!,"AAAAAG/3vyo=")</f>
        <v>#REF!</v>
      </c>
      <c r="AR2" s="41" t="e">
        <f>AND(Duty!N16,"AAAAAG/3vys=")</f>
        <v>#VALUE!</v>
      </c>
      <c r="AS2" s="41" t="e">
        <f>AND(Duty!#REF!,"AAAAAG/3vyw=")</f>
        <v>#REF!</v>
      </c>
      <c r="AT2" s="41" t="e">
        <f>AND(Duty!#REF!,"AAAAAG/3vy0=")</f>
        <v>#REF!</v>
      </c>
      <c r="AU2" s="41" t="e">
        <f>AND(Duty!#REF!,"AAAAAG/3vy4=")</f>
        <v>#REF!</v>
      </c>
      <c r="AV2" s="41" t="e">
        <f>AND(Duty!O16,"AAAAAG/3vy8=")</f>
        <v>#VALUE!</v>
      </c>
      <c r="AW2" s="41" t="e">
        <f>IF(Duty!#REF!,"AAAAAG/3vzA=",0)</f>
        <v>#REF!</v>
      </c>
      <c r="AX2" s="41" t="e">
        <f>AND(Duty!#REF!,"AAAAAG/3vzE=")</f>
        <v>#REF!</v>
      </c>
      <c r="AY2" s="41" t="e">
        <f>AND(Duty!#REF!,"AAAAAG/3vzI=")</f>
        <v>#REF!</v>
      </c>
      <c r="AZ2" s="41" t="e">
        <f>AND(Duty!#REF!,"AAAAAG/3vzM=")</f>
        <v>#REF!</v>
      </c>
      <c r="BA2" s="41" t="e">
        <f>AND(Duty!#REF!,"AAAAAG/3vzQ=")</f>
        <v>#REF!</v>
      </c>
      <c r="BB2" s="41" t="e">
        <f>AND(Duty!#REF!,"AAAAAG/3vzU=")</f>
        <v>#REF!</v>
      </c>
      <c r="BC2" s="41" t="e">
        <f>AND(Duty!#REF!,"AAAAAG/3vzY=")</f>
        <v>#REF!</v>
      </c>
      <c r="BD2" s="41" t="e">
        <f>AND(Duty!#REF!,"AAAAAG/3vzc=")</f>
        <v>#REF!</v>
      </c>
      <c r="BE2" s="41" t="e">
        <f>AND(Duty!#REF!,"AAAAAG/3vzg=")</f>
        <v>#REF!</v>
      </c>
      <c r="BF2" s="41" t="e">
        <f>AND(Duty!#REF!,"AAAAAG/3vzk=")</f>
        <v>#REF!</v>
      </c>
      <c r="BG2" s="41" t="e">
        <f>AND(Duty!#REF!,"AAAAAG/3vzo=")</f>
        <v>#REF!</v>
      </c>
      <c r="BH2" s="41" t="e">
        <f>AND(Duty!#REF!,"AAAAAG/3vzs=")</f>
        <v>#REF!</v>
      </c>
      <c r="BI2" s="41" t="e">
        <f>AND(Duty!#REF!,"AAAAAG/3vzw=")</f>
        <v>#REF!</v>
      </c>
      <c r="BJ2" s="41" t="e">
        <f>AND(Duty!#REF!,"AAAAAG/3vz0=")</f>
        <v>#REF!</v>
      </c>
      <c r="BK2" s="41" t="e">
        <f>AND(Duty!#REF!,"AAAAAG/3vz4=")</f>
        <v>#REF!</v>
      </c>
      <c r="BL2" s="41" t="e">
        <f>AND(Duty!#REF!,"AAAAAG/3vz8=")</f>
        <v>#REF!</v>
      </c>
      <c r="BM2" s="41" t="e">
        <f>AND(Duty!#REF!,"AAAAAG/3v0A=")</f>
        <v>#REF!</v>
      </c>
      <c r="BN2" s="41" t="e">
        <f>AND(Duty!#REF!,"AAAAAG/3v0E=")</f>
        <v>#REF!</v>
      </c>
      <c r="BO2" s="41" t="e">
        <f>AND(Duty!#REF!,"AAAAAG/3v0I=")</f>
        <v>#REF!</v>
      </c>
      <c r="BP2" s="41">
        <v>0</v>
      </c>
      <c r="BQ2" s="41" t="e">
        <f>AND(Duty!A19,"AAAAAG/3v0Q=")</f>
        <v>#VALUE!</v>
      </c>
      <c r="BR2" s="41" t="e">
        <f>AND(Duty!B19,"AAAAAG/3v0U=")</f>
        <v>#VALUE!</v>
      </c>
      <c r="BS2" s="41" t="e">
        <f>AND(Duty!C19,"AAAAAG/3v0Y=")</f>
        <v>#VALUE!</v>
      </c>
      <c r="BT2" s="41" t="e">
        <f>AND(Duty!D19,"AAAAAG/3v0c=")</f>
        <v>#VALUE!</v>
      </c>
      <c r="BU2" s="41" t="e">
        <f>AND(Duty!#REF!,"AAAAAG/3v0g=")</f>
        <v>#REF!</v>
      </c>
      <c r="BV2" s="41" t="e">
        <f>AND(Duty!G19,"AAAAAG/3v0k=")</f>
        <v>#VALUE!</v>
      </c>
      <c r="BW2" s="41" t="e">
        <f>AND(Duty!H19,"AAAAAG/3v0o=")</f>
        <v>#VALUE!</v>
      </c>
      <c r="BX2" s="41" t="e">
        <f>AND(Duty!I19,"AAAAAG/3v0s=")</f>
        <v>#VALUE!</v>
      </c>
      <c r="BY2" s="41" t="e">
        <f>AND(Duty!J19,"AAAAAG/3v0w=")</f>
        <v>#VALUE!</v>
      </c>
      <c r="BZ2" s="41" t="e">
        <f>AND(Duty!K19,"AAAAAG/3v00=")</f>
        <v>#VALUE!</v>
      </c>
      <c r="CA2" s="41" t="e">
        <f>AND(Duty!L19,"AAAAAG/3v04=")</f>
        <v>#VALUE!</v>
      </c>
      <c r="CB2" s="41" t="e">
        <f>AND(Duty!M19,"AAAAAG/3v08=")</f>
        <v>#VALUE!</v>
      </c>
      <c r="CC2" s="41" t="e">
        <f>AND(Duty!#REF!,"AAAAAG/3v1A=")</f>
        <v>#REF!</v>
      </c>
      <c r="CD2" s="41" t="e">
        <f>AND(Duty!N19,"AAAAAG/3v1E=")</f>
        <v>#VALUE!</v>
      </c>
      <c r="CE2" s="41" t="e">
        <f>AND(Duty!#REF!,"AAAAAG/3v1I=")</f>
        <v>#REF!</v>
      </c>
      <c r="CF2" s="41" t="e">
        <f>AND(Duty!#REF!,"AAAAAG/3v1M=")</f>
        <v>#REF!</v>
      </c>
      <c r="CG2" s="41" t="e">
        <f>AND(Duty!#REF!,"AAAAAG/3v1Q=")</f>
        <v>#REF!</v>
      </c>
      <c r="CH2" s="41" t="e">
        <f>AND(Duty!O19,"AAAAAG/3v1U=")</f>
        <v>#VALUE!</v>
      </c>
      <c r="CI2" s="41">
        <v>0</v>
      </c>
      <c r="CJ2" s="41" t="e">
        <f>AND(Duty!A20,"AAAAAG/3v1c=")</f>
        <v>#VALUE!</v>
      </c>
      <c r="CK2" s="41" t="e">
        <f>AND(Duty!B20,"AAAAAG/3v1g=")</f>
        <v>#VALUE!</v>
      </c>
      <c r="CL2" s="41" t="e">
        <f>AND(Duty!C20,"AAAAAG/3v1k=")</f>
        <v>#VALUE!</v>
      </c>
      <c r="CM2" s="41" t="e">
        <f>AND(Duty!D20,"AAAAAG/3v1o=")</f>
        <v>#VALUE!</v>
      </c>
      <c r="CN2" s="41" t="e">
        <f>AND(Duty!#REF!,"AAAAAG/3v1s=")</f>
        <v>#REF!</v>
      </c>
      <c r="CO2" s="41" t="e">
        <f>AND(Duty!G20,"AAAAAG/3v1w=")</f>
        <v>#VALUE!</v>
      </c>
      <c r="CP2" s="41" t="e">
        <f>AND(Duty!H20,"AAAAAG/3v10=")</f>
        <v>#VALUE!</v>
      </c>
      <c r="CQ2" s="41" t="e">
        <f>AND(Duty!I20,"AAAAAG/3v14=")</f>
        <v>#VALUE!</v>
      </c>
      <c r="CR2" s="41" t="e">
        <f>AND(Duty!J20,"AAAAAG/3v18=")</f>
        <v>#VALUE!</v>
      </c>
      <c r="CS2" s="41" t="e">
        <f>AND(Duty!K20,"AAAAAG/3v2A=")</f>
        <v>#VALUE!</v>
      </c>
      <c r="CT2" s="41" t="e">
        <f>AND(Duty!L20,"AAAAAG/3v2E=")</f>
        <v>#VALUE!</v>
      </c>
      <c r="CU2" s="41" t="e">
        <f>AND(Duty!M20,"AAAAAG/3v2I=")</f>
        <v>#VALUE!</v>
      </c>
      <c r="CV2" s="41" t="e">
        <f>AND(Duty!#REF!,"AAAAAG/3v2M=")</f>
        <v>#REF!</v>
      </c>
      <c r="CW2" s="41" t="e">
        <f>AND(Duty!N20,"AAAAAG/3v2Q=")</f>
        <v>#VALUE!</v>
      </c>
      <c r="CX2" s="41" t="e">
        <f>AND(Duty!#REF!,"AAAAAG/3v2U=")</f>
        <v>#REF!</v>
      </c>
      <c r="CY2" s="41" t="e">
        <f>AND(Duty!#REF!,"AAAAAG/3v2Y=")</f>
        <v>#REF!</v>
      </c>
      <c r="CZ2" s="41" t="e">
        <f>AND(Duty!#REF!,"AAAAAG/3v2c=")</f>
        <v>#REF!</v>
      </c>
      <c r="DA2" s="41" t="e">
        <f>AND(Duty!O20,"AAAAAG/3v2g=")</f>
        <v>#VALUE!</v>
      </c>
      <c r="DB2" s="41" t="e">
        <f>IF(Duty!#REF!,"AAAAAG/3v2k=",0)</f>
        <v>#REF!</v>
      </c>
      <c r="DC2" s="41" t="e">
        <f>AND(Duty!#REF!,"AAAAAG/3v2o=")</f>
        <v>#REF!</v>
      </c>
      <c r="DD2" s="41" t="e">
        <f>AND(Duty!#REF!,"AAAAAG/3v2s=")</f>
        <v>#REF!</v>
      </c>
      <c r="DE2" s="41" t="e">
        <f>AND(Duty!#REF!,"AAAAAG/3v2w=")</f>
        <v>#REF!</v>
      </c>
      <c r="DF2" s="41" t="e">
        <f>AND(Duty!#REF!,"AAAAAG/3v20=")</f>
        <v>#REF!</v>
      </c>
      <c r="DG2" s="41" t="e">
        <f>AND(Duty!#REF!,"AAAAAG/3v24=")</f>
        <v>#REF!</v>
      </c>
      <c r="DH2" s="41" t="e">
        <f>AND(Duty!#REF!,"AAAAAG/3v28=")</f>
        <v>#REF!</v>
      </c>
      <c r="DI2" s="41" t="e">
        <f>AND(Duty!#REF!,"AAAAAG/3v3A=")</f>
        <v>#REF!</v>
      </c>
      <c r="DJ2" s="41" t="e">
        <f>AND(Duty!#REF!,"AAAAAG/3v3E=")</f>
        <v>#REF!</v>
      </c>
      <c r="DK2" s="41" t="e">
        <f>AND(Duty!#REF!,"AAAAAG/3v3I=")</f>
        <v>#REF!</v>
      </c>
      <c r="DL2" s="41" t="e">
        <f>AND(Duty!#REF!,"AAAAAG/3v3M=")</f>
        <v>#REF!</v>
      </c>
      <c r="DM2" s="41" t="e">
        <f>AND(Duty!#REF!,"AAAAAG/3v3Q=")</f>
        <v>#REF!</v>
      </c>
      <c r="DN2" s="41" t="e">
        <f>AND(Duty!#REF!,"AAAAAG/3v3U=")</f>
        <v>#REF!</v>
      </c>
      <c r="DO2" s="41" t="e">
        <f>AND(Duty!#REF!,"AAAAAG/3v3Y=")</f>
        <v>#REF!</v>
      </c>
      <c r="DP2" s="41" t="e">
        <f>AND(Duty!#REF!,"AAAAAG/3v3c=")</f>
        <v>#REF!</v>
      </c>
      <c r="DQ2" s="41" t="e">
        <f>AND(Duty!#REF!,"AAAAAG/3v3g=")</f>
        <v>#REF!</v>
      </c>
      <c r="DR2" s="41" t="e">
        <f>AND(Duty!#REF!,"AAAAAG/3v3k=")</f>
        <v>#REF!</v>
      </c>
      <c r="DS2" s="41" t="e">
        <f>AND(Duty!#REF!,"AAAAAG/3v3o=")</f>
        <v>#REF!</v>
      </c>
      <c r="DT2" s="41" t="e">
        <f>AND(Duty!#REF!,"AAAAAG/3v3s=")</f>
        <v>#REF!</v>
      </c>
      <c r="DU2" s="41" t="e">
        <f>IF(Duty!#REF!,"AAAAAG/3v3w=",0)</f>
        <v>#REF!</v>
      </c>
      <c r="DV2" s="41" t="e">
        <f>AND(Duty!#REF!,"AAAAAG/3v30=")</f>
        <v>#REF!</v>
      </c>
      <c r="DW2" s="41" t="e">
        <f>AND(Duty!#REF!,"AAAAAG/3v34=")</f>
        <v>#REF!</v>
      </c>
      <c r="DX2" s="41" t="e">
        <f>AND(Duty!#REF!,"AAAAAG/3v38=")</f>
        <v>#REF!</v>
      </c>
      <c r="DY2" s="41" t="e">
        <f>AND(Duty!#REF!,"AAAAAG/3v4A=")</f>
        <v>#REF!</v>
      </c>
      <c r="DZ2" s="41" t="e">
        <f>AND(Duty!#REF!,"AAAAAG/3v4E=")</f>
        <v>#REF!</v>
      </c>
      <c r="EA2" s="41" t="e">
        <f>AND(Duty!#REF!,"AAAAAG/3v4I=")</f>
        <v>#REF!</v>
      </c>
      <c r="EB2" s="41" t="e">
        <f>AND(Duty!#REF!,"AAAAAG/3v4M=")</f>
        <v>#REF!</v>
      </c>
      <c r="EC2" s="41" t="e">
        <f>AND(Duty!#REF!,"AAAAAG/3v4Q=")</f>
        <v>#REF!</v>
      </c>
      <c r="ED2" s="41" t="e">
        <f>AND(Duty!#REF!,"AAAAAG/3v4U=")</f>
        <v>#REF!</v>
      </c>
      <c r="EE2" s="41" t="e">
        <f>AND(Duty!#REF!,"AAAAAG/3v4Y=")</f>
        <v>#REF!</v>
      </c>
      <c r="EF2" s="41" t="e">
        <f>AND(Duty!#REF!,"AAAAAG/3v4c=")</f>
        <v>#REF!</v>
      </c>
      <c r="EG2" s="41" t="e">
        <f>AND(Duty!#REF!,"AAAAAG/3v4g=")</f>
        <v>#REF!</v>
      </c>
      <c r="EH2" s="41" t="e">
        <f>AND(Duty!#REF!,"AAAAAG/3v4k=")</f>
        <v>#REF!</v>
      </c>
      <c r="EI2" s="41" t="e">
        <f>AND(Duty!#REF!,"AAAAAG/3v4o=")</f>
        <v>#REF!</v>
      </c>
      <c r="EJ2" s="41" t="e">
        <f>AND(Duty!#REF!,"AAAAAG/3v4s=")</f>
        <v>#REF!</v>
      </c>
      <c r="EK2" s="41" t="e">
        <f>AND(Duty!#REF!,"AAAAAG/3v4w=")</f>
        <v>#REF!</v>
      </c>
      <c r="EL2" s="41" t="e">
        <f>AND(Duty!#REF!,"AAAAAG/3v40=")</f>
        <v>#REF!</v>
      </c>
      <c r="EM2" s="41" t="e">
        <f>AND(Duty!#REF!,"AAAAAG/3v44=")</f>
        <v>#REF!</v>
      </c>
      <c r="EN2" s="41">
        <v>0</v>
      </c>
      <c r="EO2" s="41" t="e">
        <f>AND(Duty!A21,"AAAAAG/3v5A=")</f>
        <v>#VALUE!</v>
      </c>
      <c r="EP2" s="41" t="e">
        <f>AND(Duty!B21,"AAAAAG/3v5E=")</f>
        <v>#VALUE!</v>
      </c>
      <c r="EQ2" s="41" t="e">
        <f>AND(Duty!C21,"AAAAAG/3v5I=")</f>
        <v>#VALUE!</v>
      </c>
      <c r="ER2" s="41" t="e">
        <f>AND(Duty!D21,"AAAAAG/3v5M=")</f>
        <v>#VALUE!</v>
      </c>
      <c r="ES2" s="41" t="e">
        <f>AND(Duty!#REF!,"AAAAAG/3v5Q=")</f>
        <v>#REF!</v>
      </c>
      <c r="ET2" s="41" t="e">
        <f>AND(Duty!G21,"AAAAAG/3v5U=")</f>
        <v>#VALUE!</v>
      </c>
      <c r="EU2" s="41" t="e">
        <f>AND(Duty!H21,"AAAAAG/3v5Y=")</f>
        <v>#VALUE!</v>
      </c>
      <c r="EV2" s="41" t="e">
        <f>AND(Duty!I21,"AAAAAG/3v5c=")</f>
        <v>#VALUE!</v>
      </c>
      <c r="EW2" s="41" t="e">
        <f>AND(Duty!J21,"AAAAAG/3v5g=")</f>
        <v>#VALUE!</v>
      </c>
      <c r="EX2" s="41" t="e">
        <f>AND(Duty!K21,"AAAAAG/3v5k=")</f>
        <v>#VALUE!</v>
      </c>
      <c r="EY2" s="41" t="e">
        <f>AND(Duty!L21,"AAAAAG/3v5o=")</f>
        <v>#VALUE!</v>
      </c>
      <c r="EZ2" s="41" t="e">
        <f>AND(Duty!M21,"AAAAAG/3v5s=")</f>
        <v>#VALUE!</v>
      </c>
      <c r="FA2" s="41" t="e">
        <f>AND(Duty!#REF!,"AAAAAG/3v5w=")</f>
        <v>#REF!</v>
      </c>
      <c r="FB2" s="41" t="e">
        <f>AND(Duty!N21,"AAAAAG/3v50=")</f>
        <v>#VALUE!</v>
      </c>
      <c r="FC2" s="41" t="e">
        <f>AND(Duty!#REF!,"AAAAAG/3v54=")</f>
        <v>#REF!</v>
      </c>
      <c r="FD2" s="41" t="e">
        <f>AND(Duty!#REF!,"AAAAAG/3v58=")</f>
        <v>#REF!</v>
      </c>
      <c r="FE2" s="41" t="e">
        <f>AND(Duty!#REF!,"AAAAAG/3v6A=")</f>
        <v>#REF!</v>
      </c>
      <c r="FF2" s="41" t="e">
        <f>AND(Duty!O21,"AAAAAG/3v6E=")</f>
        <v>#VALUE!</v>
      </c>
      <c r="FG2" s="41">
        <v>0</v>
      </c>
      <c r="FH2" s="41" t="e">
        <f>AND(Duty!A22,"AAAAAG/3v6M=")</f>
        <v>#VALUE!</v>
      </c>
      <c r="FI2" s="41" t="e">
        <f>AND(Duty!B22,"AAAAAG/3v6Q=")</f>
        <v>#VALUE!</v>
      </c>
      <c r="FJ2" s="41" t="e">
        <f>AND(Duty!C22,"AAAAAG/3v6U=")</f>
        <v>#VALUE!</v>
      </c>
      <c r="FK2" s="41" t="e">
        <f>AND(Duty!D22,"AAAAAG/3v6Y=")</f>
        <v>#VALUE!</v>
      </c>
      <c r="FL2" s="41" t="e">
        <f>AND(Duty!#REF!,"AAAAAG/3v6c=")</f>
        <v>#REF!</v>
      </c>
      <c r="FM2" s="41" t="e">
        <f>AND(Duty!G22,"AAAAAG/3v6g=")</f>
        <v>#VALUE!</v>
      </c>
      <c r="FN2" s="41" t="e">
        <f>AND(Duty!H22,"AAAAAG/3v6k=")</f>
        <v>#VALUE!</v>
      </c>
      <c r="FO2" s="41" t="e">
        <f>AND(Duty!I22,"AAAAAG/3v6o=")</f>
        <v>#VALUE!</v>
      </c>
      <c r="FP2" s="41" t="e">
        <f>AND(Duty!J22,"AAAAAG/3v6s=")</f>
        <v>#VALUE!</v>
      </c>
      <c r="FQ2" s="41" t="e">
        <f>AND(Duty!K22,"AAAAAG/3v6w=")</f>
        <v>#VALUE!</v>
      </c>
      <c r="FR2" s="41" t="e">
        <f>AND(Duty!L22,"AAAAAG/3v60=")</f>
        <v>#VALUE!</v>
      </c>
      <c r="FS2" s="41" t="e">
        <f>AND(Duty!M22,"AAAAAG/3v64=")</f>
        <v>#VALUE!</v>
      </c>
      <c r="FT2" s="41" t="e">
        <f>AND(Duty!#REF!,"AAAAAG/3v68=")</f>
        <v>#REF!</v>
      </c>
      <c r="FU2" s="41" t="e">
        <f>AND(Duty!N22,"AAAAAG/3v7A=")</f>
        <v>#VALUE!</v>
      </c>
      <c r="FV2" s="41" t="e">
        <f>AND(Duty!#REF!,"AAAAAG/3v7E=")</f>
        <v>#REF!</v>
      </c>
      <c r="FW2" s="41" t="e">
        <f>AND(Duty!#REF!,"AAAAAG/3v7I=")</f>
        <v>#REF!</v>
      </c>
      <c r="FX2" s="41" t="e">
        <f>AND(Duty!#REF!,"AAAAAG/3v7M=")</f>
        <v>#REF!</v>
      </c>
      <c r="FY2" s="41" t="e">
        <f>AND(Duty!O22,"AAAAAG/3v7Q=")</f>
        <v>#VALUE!</v>
      </c>
      <c r="FZ2" s="41">
        <v>0</v>
      </c>
      <c r="GA2" s="41" t="e">
        <f>AND(Duty!A23,"AAAAAG/3v7Y=")</f>
        <v>#VALUE!</v>
      </c>
      <c r="GB2" s="41" t="e">
        <f>AND(Duty!B23,"AAAAAG/3v7c=")</f>
        <v>#VALUE!</v>
      </c>
      <c r="GC2" s="41" t="e">
        <f>AND(Duty!C23,"AAAAAG/3v7g=")</f>
        <v>#VALUE!</v>
      </c>
      <c r="GD2" s="41" t="e">
        <f>AND(Duty!D23,"AAAAAG/3v7k=")</f>
        <v>#VALUE!</v>
      </c>
      <c r="GE2" s="41" t="e">
        <f>AND(Duty!#REF!,"AAAAAG/3v7o=")</f>
        <v>#REF!</v>
      </c>
      <c r="GF2" s="41" t="e">
        <f>AND(Duty!G23,"AAAAAG/3v7s=")</f>
        <v>#VALUE!</v>
      </c>
      <c r="GG2" s="41" t="e">
        <f>AND(Duty!H23,"AAAAAG/3v7w=")</f>
        <v>#VALUE!</v>
      </c>
      <c r="GH2" s="41" t="e">
        <f>AND(Duty!I23,"AAAAAG/3v70=")</f>
        <v>#VALUE!</v>
      </c>
      <c r="GI2" s="41" t="e">
        <f>AND(Duty!J23,"AAAAAG/3v74=")</f>
        <v>#VALUE!</v>
      </c>
      <c r="GJ2" s="41" t="e">
        <f>AND(Duty!K23,"AAAAAG/3v78=")</f>
        <v>#VALUE!</v>
      </c>
      <c r="GK2" s="41" t="e">
        <f>AND(Duty!L23,"AAAAAG/3v8A=")</f>
        <v>#VALUE!</v>
      </c>
      <c r="GL2" s="41" t="e">
        <f>AND(Duty!M23,"AAAAAG/3v8E=")</f>
        <v>#VALUE!</v>
      </c>
      <c r="GM2" s="41" t="e">
        <f>AND(Duty!#REF!,"AAAAAG/3v8I=")</f>
        <v>#REF!</v>
      </c>
      <c r="GN2" s="41" t="e">
        <f>AND(Duty!N23,"AAAAAG/3v8M=")</f>
        <v>#VALUE!</v>
      </c>
      <c r="GO2" s="41" t="e">
        <f>AND(Duty!#REF!,"AAAAAG/3v8Q=")</f>
        <v>#REF!</v>
      </c>
      <c r="GP2" s="41" t="e">
        <f>AND(Duty!#REF!,"AAAAAG/3v8U=")</f>
        <v>#REF!</v>
      </c>
      <c r="GQ2" s="41" t="e">
        <f>AND(Duty!#REF!,"AAAAAG/3v8Y=")</f>
        <v>#REF!</v>
      </c>
      <c r="GR2" s="41" t="e">
        <f>AND(Duty!O23,"AAAAAG/3v8c=")</f>
        <v>#VALUE!</v>
      </c>
      <c r="GS2" s="41">
        <v>0</v>
      </c>
      <c r="GT2" s="41" t="e">
        <f>AND(Duty!A24,"AAAAAG/3v8k=")</f>
        <v>#VALUE!</v>
      </c>
      <c r="GU2" s="41" t="e">
        <f>AND(Duty!B24,"AAAAAG/3v8o=")</f>
        <v>#VALUE!</v>
      </c>
      <c r="GV2" s="41" t="e">
        <f>AND(Duty!C24,"AAAAAG/3v8s=")</f>
        <v>#VALUE!</v>
      </c>
      <c r="GW2" s="41" t="e">
        <f>AND(Duty!D24,"AAAAAG/3v8w=")</f>
        <v>#VALUE!</v>
      </c>
      <c r="GX2" s="41" t="e">
        <f>AND(Duty!#REF!,"AAAAAG/3v80=")</f>
        <v>#REF!</v>
      </c>
      <c r="GY2" s="41" t="e">
        <f>AND(Duty!G24,"AAAAAG/3v84=")</f>
        <v>#VALUE!</v>
      </c>
      <c r="GZ2" s="41" t="e">
        <f>AND(Duty!H24,"AAAAAG/3v88=")</f>
        <v>#VALUE!</v>
      </c>
      <c r="HA2" s="41" t="e">
        <f>AND(Duty!I24,"AAAAAG/3v9A=")</f>
        <v>#VALUE!</v>
      </c>
      <c r="HB2" s="41" t="e">
        <f>AND(Duty!J24,"AAAAAG/3v9E=")</f>
        <v>#VALUE!</v>
      </c>
      <c r="HC2" s="41" t="e">
        <f>AND(Duty!K24,"AAAAAG/3v9I=")</f>
        <v>#VALUE!</v>
      </c>
      <c r="HD2" s="41" t="e">
        <f>AND(Duty!L24,"AAAAAG/3v9M=")</f>
        <v>#VALUE!</v>
      </c>
      <c r="HE2" s="41" t="e">
        <f>AND(Duty!M24,"AAAAAG/3v9Q=")</f>
        <v>#VALUE!</v>
      </c>
      <c r="HF2" s="41" t="e">
        <f>AND(Duty!#REF!,"AAAAAG/3v9U=")</f>
        <v>#REF!</v>
      </c>
      <c r="HG2" s="41" t="e">
        <f>AND(Duty!N24,"AAAAAG/3v9Y=")</f>
        <v>#VALUE!</v>
      </c>
      <c r="HH2" s="41" t="e">
        <f>AND(Duty!#REF!,"AAAAAG/3v9c=")</f>
        <v>#REF!</v>
      </c>
      <c r="HI2" s="41" t="e">
        <f>AND(Duty!#REF!,"AAAAAG/3v9g=")</f>
        <v>#REF!</v>
      </c>
      <c r="HJ2" s="41" t="e">
        <f>AND(Duty!#REF!,"AAAAAG/3v9k=")</f>
        <v>#REF!</v>
      </c>
      <c r="HK2" s="41" t="e">
        <f>AND(Duty!O24,"AAAAAG/3v9o=")</f>
        <v>#VALUE!</v>
      </c>
      <c r="HL2" s="41">
        <v>0</v>
      </c>
      <c r="HM2" s="41" t="e">
        <f>AND(Duty!A25,"AAAAAG/3v9w=")</f>
        <v>#VALUE!</v>
      </c>
      <c r="HN2" s="41" t="e">
        <f>AND(Duty!B25,"AAAAAG/3v90=")</f>
        <v>#VALUE!</v>
      </c>
      <c r="HO2" s="41" t="e">
        <f>AND(Duty!C25,"AAAAAG/3v94=")</f>
        <v>#VALUE!</v>
      </c>
      <c r="HP2" s="41" t="e">
        <f>AND(Duty!D25,"AAAAAG/3v98=")</f>
        <v>#VALUE!</v>
      </c>
      <c r="HQ2" s="41" t="e">
        <f>AND(Duty!#REF!,"AAAAAG/3v+A=")</f>
        <v>#REF!</v>
      </c>
      <c r="HR2" s="41" t="e">
        <f>AND(Duty!G25,"AAAAAG/3v+E=")</f>
        <v>#VALUE!</v>
      </c>
      <c r="HS2" s="41" t="e">
        <f>AND(Duty!H25,"AAAAAG/3v+I=")</f>
        <v>#VALUE!</v>
      </c>
      <c r="HT2" s="41" t="e">
        <f>AND(Duty!I25,"AAAAAG/3v+M=")</f>
        <v>#VALUE!</v>
      </c>
      <c r="HU2" s="41" t="e">
        <f>AND(Duty!J25,"AAAAAG/3v+Q=")</f>
        <v>#VALUE!</v>
      </c>
      <c r="HV2" s="41" t="e">
        <f>AND(Duty!K25,"AAAAAG/3v+U=")</f>
        <v>#VALUE!</v>
      </c>
      <c r="HW2" s="41" t="e">
        <f>AND(Duty!L25,"AAAAAG/3v+Y=")</f>
        <v>#VALUE!</v>
      </c>
      <c r="HX2" s="41" t="e">
        <f>AND(Duty!M25,"AAAAAG/3v+c=")</f>
        <v>#VALUE!</v>
      </c>
      <c r="HY2" s="41" t="e">
        <f>AND(Duty!#REF!,"AAAAAG/3v+g=")</f>
        <v>#REF!</v>
      </c>
      <c r="HZ2" s="41" t="e">
        <f>AND(Duty!N25,"AAAAAG/3v+k=")</f>
        <v>#VALUE!</v>
      </c>
      <c r="IA2" s="41" t="e">
        <f>AND(Duty!#REF!,"AAAAAG/3v+o=")</f>
        <v>#REF!</v>
      </c>
      <c r="IB2" s="41" t="e">
        <f>AND(Duty!#REF!,"AAAAAG/3v+s=")</f>
        <v>#REF!</v>
      </c>
      <c r="IC2" s="41" t="e">
        <f>AND(Duty!#REF!,"AAAAAG/3v+w=")</f>
        <v>#REF!</v>
      </c>
      <c r="ID2" s="41" t="e">
        <f>AND(Duty!O25,"AAAAAG/3v+0=")</f>
        <v>#VALUE!</v>
      </c>
      <c r="IE2" s="41">
        <v>0</v>
      </c>
      <c r="IF2" s="41" t="e">
        <f>AND(Duty!A26,"AAAAAG/3v+8=")</f>
        <v>#VALUE!</v>
      </c>
      <c r="IG2" s="41" t="e">
        <f>AND(Duty!B26,"AAAAAG/3v/A=")</f>
        <v>#VALUE!</v>
      </c>
      <c r="IH2" s="41" t="e">
        <f>AND(Duty!C26,"AAAAAG/3v/E=")</f>
        <v>#VALUE!</v>
      </c>
      <c r="II2" s="41" t="e">
        <f>AND(Duty!D26,"AAAAAG/3v/I=")</f>
        <v>#VALUE!</v>
      </c>
      <c r="IJ2" s="41" t="e">
        <f>AND(Duty!#REF!,"AAAAAG/3v/M=")</f>
        <v>#REF!</v>
      </c>
      <c r="IK2" s="41" t="e">
        <f>AND(Duty!G26,"AAAAAG/3v/Q=")</f>
        <v>#VALUE!</v>
      </c>
      <c r="IL2" s="41" t="e">
        <f>AND(Duty!H26,"AAAAAG/3v/U=")</f>
        <v>#VALUE!</v>
      </c>
      <c r="IM2" s="41" t="e">
        <f>AND(Duty!I26,"AAAAAG/3v/Y=")</f>
        <v>#VALUE!</v>
      </c>
      <c r="IN2" s="41" t="e">
        <f>AND(Duty!J26,"AAAAAG/3v/c=")</f>
        <v>#VALUE!</v>
      </c>
      <c r="IO2" s="41" t="e">
        <f>AND(Duty!K26,"AAAAAG/3v/g=")</f>
        <v>#VALUE!</v>
      </c>
      <c r="IP2" s="41" t="e">
        <f>AND(Duty!L26,"AAAAAG/3v/k=")</f>
        <v>#VALUE!</v>
      </c>
      <c r="IQ2" s="41" t="e">
        <f>AND(Duty!M26,"AAAAAG/3v/o=")</f>
        <v>#VALUE!</v>
      </c>
      <c r="IR2" s="41" t="e">
        <f>AND(Duty!#REF!,"AAAAAG/3v/s=")</f>
        <v>#REF!</v>
      </c>
      <c r="IS2" s="41" t="e">
        <f>AND(Duty!N26,"AAAAAG/3v/w=")</f>
        <v>#VALUE!</v>
      </c>
      <c r="IT2" s="41" t="e">
        <f>AND(Duty!#REF!,"AAAAAG/3v/0=")</f>
        <v>#REF!</v>
      </c>
      <c r="IU2" s="41" t="e">
        <f>AND(Duty!#REF!,"AAAAAG/3v/4=")</f>
        <v>#REF!</v>
      </c>
      <c r="IV2" s="41" t="e">
        <f>AND(Duty!#REF!,"AAAAAG/3v/8=")</f>
        <v>#REF!</v>
      </c>
    </row>
    <row r="3" spans="1:256" x14ac:dyDescent="0.2">
      <c r="A3" s="41" t="e">
        <f>AND(Duty!O26,"AAAAAG/a/gA=")</f>
        <v>#VALUE!</v>
      </c>
      <c r="B3" s="41" t="s">
        <v>123</v>
      </c>
      <c r="C3" s="41" t="e">
        <f>AND(Duty!A27,"AAAAAG/a/gI=")</f>
        <v>#VALUE!</v>
      </c>
      <c r="D3" s="41" t="e">
        <f>AND(Duty!B27,"AAAAAG/a/gM=")</f>
        <v>#VALUE!</v>
      </c>
      <c r="E3" s="41" t="e">
        <f>AND(Duty!C27,"AAAAAG/a/gQ=")</f>
        <v>#VALUE!</v>
      </c>
      <c r="F3" s="41" t="e">
        <f>AND(Duty!D27,"AAAAAG/a/gU=")</f>
        <v>#VALUE!</v>
      </c>
      <c r="G3" s="41" t="e">
        <f>AND(Duty!#REF!,"AAAAAG/a/gY=")</f>
        <v>#REF!</v>
      </c>
      <c r="H3" s="41" t="e">
        <f>AND(Duty!G27,"AAAAAG/a/gc=")</f>
        <v>#VALUE!</v>
      </c>
      <c r="I3" s="41" t="e">
        <f>AND(Duty!H27,"AAAAAG/a/gg=")</f>
        <v>#VALUE!</v>
      </c>
      <c r="J3" s="41" t="e">
        <f>AND(Duty!I27,"AAAAAG/a/gk=")</f>
        <v>#VALUE!</v>
      </c>
      <c r="K3" s="41" t="e">
        <f>AND(Duty!J27,"AAAAAG/a/go=")</f>
        <v>#VALUE!</v>
      </c>
      <c r="L3" s="41" t="e">
        <f>AND(Duty!K27,"AAAAAG/a/gs=")</f>
        <v>#VALUE!</v>
      </c>
      <c r="M3" s="41" t="e">
        <f>AND(Duty!L27,"AAAAAG/a/gw=")</f>
        <v>#VALUE!</v>
      </c>
      <c r="N3" s="41" t="e">
        <f>AND(Duty!M27,"AAAAAG/a/g0=")</f>
        <v>#VALUE!</v>
      </c>
      <c r="O3" s="41" t="e">
        <f>AND(Duty!#REF!,"AAAAAG/a/g4=")</f>
        <v>#REF!</v>
      </c>
      <c r="P3" s="41" t="e">
        <f>AND(Duty!N27,"AAAAAG/a/g8=")</f>
        <v>#VALUE!</v>
      </c>
      <c r="Q3" s="41" t="e">
        <f>AND(Duty!#REF!,"AAAAAG/a/hA=")</f>
        <v>#REF!</v>
      </c>
      <c r="R3" s="41" t="e">
        <f>AND(Duty!#REF!,"AAAAAG/a/hE=")</f>
        <v>#REF!</v>
      </c>
      <c r="S3" s="41" t="e">
        <f>AND(Duty!#REF!,"AAAAAG/a/hI=")</f>
        <v>#REF!</v>
      </c>
      <c r="T3" s="41" t="e">
        <f>AND(Duty!O27,"AAAAAG/a/hM=")</f>
        <v>#VALUE!</v>
      </c>
      <c r="U3" s="41" t="e">
        <f>IF(Duty!#REF!,"AAAAAG/a/hQ=",0)</f>
        <v>#REF!</v>
      </c>
      <c r="V3" s="41" t="e">
        <f>AND(Duty!#REF!,"AAAAAG/a/hU=")</f>
        <v>#REF!</v>
      </c>
      <c r="W3" s="41" t="e">
        <f>AND(Duty!#REF!,"AAAAAG/a/hY=")</f>
        <v>#REF!</v>
      </c>
      <c r="X3" s="41" t="e">
        <f>AND(Duty!#REF!,"AAAAAG/a/hc=")</f>
        <v>#REF!</v>
      </c>
      <c r="Y3" s="41" t="e">
        <f>AND(Duty!#REF!,"AAAAAG/a/hg=")</f>
        <v>#REF!</v>
      </c>
      <c r="Z3" s="41" t="e">
        <f>AND(Duty!#REF!,"AAAAAG/a/hk=")</f>
        <v>#REF!</v>
      </c>
      <c r="AA3" s="41" t="e">
        <f>AND(Duty!#REF!,"AAAAAG/a/ho=")</f>
        <v>#REF!</v>
      </c>
      <c r="AB3" s="41" t="e">
        <f>AND(Duty!#REF!,"AAAAAG/a/hs=")</f>
        <v>#REF!</v>
      </c>
      <c r="AC3" s="41" t="e">
        <f>AND(Duty!#REF!,"AAAAAG/a/hw=")</f>
        <v>#REF!</v>
      </c>
      <c r="AD3" s="41" t="e">
        <f>AND(Duty!#REF!,"AAAAAG/a/h0=")</f>
        <v>#REF!</v>
      </c>
      <c r="AE3" s="41" t="e">
        <f>AND(Duty!#REF!,"AAAAAG/a/h4=")</f>
        <v>#REF!</v>
      </c>
      <c r="AF3" s="41" t="e">
        <f>AND(Duty!#REF!,"AAAAAG/a/h8=")</f>
        <v>#REF!</v>
      </c>
      <c r="AG3" s="41" t="e">
        <f>AND(Duty!#REF!,"AAAAAG/a/iA=")</f>
        <v>#REF!</v>
      </c>
      <c r="AH3" s="41" t="e">
        <f>AND(Duty!#REF!,"AAAAAG/a/iE=")</f>
        <v>#REF!</v>
      </c>
      <c r="AI3" s="41" t="e">
        <f>AND(Duty!#REF!,"AAAAAG/a/iI=")</f>
        <v>#REF!</v>
      </c>
      <c r="AJ3" s="41" t="e">
        <f>AND(Duty!#REF!,"AAAAAG/a/iM=")</f>
        <v>#REF!</v>
      </c>
      <c r="AK3" s="41" t="e">
        <f>AND(Duty!#REF!,"AAAAAG/a/iQ=")</f>
        <v>#REF!</v>
      </c>
      <c r="AL3" s="41" t="e">
        <f>AND(Duty!#REF!,"AAAAAG/a/iU=")</f>
        <v>#REF!</v>
      </c>
      <c r="AM3" s="41" t="e">
        <f>AND(Duty!#REF!,"AAAAAG/a/iY=")</f>
        <v>#REF!</v>
      </c>
      <c r="AN3" s="41">
        <v>0</v>
      </c>
      <c r="AO3" s="41" t="e">
        <f>AND(Duty!A28,"AAAAAG/a/ig=")</f>
        <v>#VALUE!</v>
      </c>
      <c r="AP3" s="41" t="e">
        <f>AND(Duty!B28,"AAAAAG/a/ik=")</f>
        <v>#VALUE!</v>
      </c>
      <c r="AQ3" s="41" t="e">
        <f>AND(Duty!C28,"AAAAAG/a/io=")</f>
        <v>#VALUE!</v>
      </c>
      <c r="AR3" s="41" t="e">
        <f>AND(Duty!D28,"AAAAAG/a/is=")</f>
        <v>#VALUE!</v>
      </c>
      <c r="AS3" s="41" t="e">
        <f>AND(Duty!#REF!,"AAAAAG/a/iw=")</f>
        <v>#REF!</v>
      </c>
      <c r="AT3" s="41" t="e">
        <f>AND(Duty!G28,"AAAAAG/a/i0=")</f>
        <v>#VALUE!</v>
      </c>
      <c r="AU3" s="41" t="e">
        <f>AND(Duty!H28,"AAAAAG/a/i4=")</f>
        <v>#VALUE!</v>
      </c>
      <c r="AV3" s="41" t="e">
        <f>AND(Duty!I28,"AAAAAG/a/i8=")</f>
        <v>#VALUE!</v>
      </c>
      <c r="AW3" s="41" t="e">
        <f>AND(Duty!J28,"AAAAAG/a/jA=")</f>
        <v>#VALUE!</v>
      </c>
      <c r="AX3" s="41" t="e">
        <f>AND(Duty!K28,"AAAAAG/a/jE=")</f>
        <v>#VALUE!</v>
      </c>
      <c r="AY3" s="41" t="e">
        <f>AND(Duty!L28,"AAAAAG/a/jI=")</f>
        <v>#VALUE!</v>
      </c>
      <c r="AZ3" s="41" t="e">
        <f>AND(Duty!M28,"AAAAAG/a/jM=")</f>
        <v>#VALUE!</v>
      </c>
      <c r="BA3" s="41" t="e">
        <f>AND(Duty!#REF!,"AAAAAG/a/jQ=")</f>
        <v>#REF!</v>
      </c>
      <c r="BB3" s="41" t="e">
        <f>AND(Duty!N28,"AAAAAG/a/jU=")</f>
        <v>#VALUE!</v>
      </c>
      <c r="BC3" s="41" t="e">
        <f>AND(Duty!#REF!,"AAAAAG/a/jY=")</f>
        <v>#REF!</v>
      </c>
      <c r="BD3" s="41" t="e">
        <f>AND(Duty!#REF!,"AAAAAG/a/jc=")</f>
        <v>#REF!</v>
      </c>
      <c r="BE3" s="41" t="e">
        <f>AND(Duty!#REF!,"AAAAAG/a/jg=")</f>
        <v>#REF!</v>
      </c>
      <c r="BF3" s="41" t="e">
        <f>AND(Duty!O28,"AAAAAG/a/jk=")</f>
        <v>#VALUE!</v>
      </c>
      <c r="BG3" s="41">
        <v>0</v>
      </c>
      <c r="BH3" s="41" t="e">
        <f>AND(Duty!A29,"AAAAAG/a/js=")</f>
        <v>#VALUE!</v>
      </c>
      <c r="BI3" s="41" t="e">
        <f>AND(Duty!B29,"AAAAAG/a/jw=")</f>
        <v>#VALUE!</v>
      </c>
      <c r="BJ3" s="41" t="e">
        <f>AND(Duty!C29,"AAAAAG/a/j0=")</f>
        <v>#VALUE!</v>
      </c>
      <c r="BK3" s="41" t="e">
        <f>AND(Duty!D29,"AAAAAG/a/j4=")</f>
        <v>#VALUE!</v>
      </c>
      <c r="BL3" s="41" t="e">
        <f>AND(Duty!#REF!,"AAAAAG/a/j8=")</f>
        <v>#REF!</v>
      </c>
      <c r="BM3" s="41" t="e">
        <f>AND(Duty!G29,"AAAAAG/a/kA=")</f>
        <v>#VALUE!</v>
      </c>
      <c r="BN3" s="41" t="e">
        <f>AND(Duty!H29,"AAAAAG/a/kE=")</f>
        <v>#VALUE!</v>
      </c>
      <c r="BO3" s="41" t="e">
        <f>AND(Duty!I29,"AAAAAG/a/kI=")</f>
        <v>#VALUE!</v>
      </c>
      <c r="BP3" s="41" t="e">
        <f>AND(Duty!J29,"AAAAAG/a/kM=")</f>
        <v>#VALUE!</v>
      </c>
      <c r="BQ3" s="41" t="e">
        <f>AND(Duty!K29,"AAAAAG/a/kQ=")</f>
        <v>#VALUE!</v>
      </c>
      <c r="BR3" s="41" t="e">
        <f>AND(Duty!L29,"AAAAAG/a/kU=")</f>
        <v>#VALUE!</v>
      </c>
      <c r="BS3" s="41" t="e">
        <f>AND(Duty!M29,"AAAAAG/a/kY=")</f>
        <v>#VALUE!</v>
      </c>
      <c r="BT3" s="41" t="e">
        <f>AND(Duty!#REF!,"AAAAAG/a/kc=")</f>
        <v>#REF!</v>
      </c>
      <c r="BU3" s="41" t="e">
        <f>AND(Duty!N29,"AAAAAG/a/kg=")</f>
        <v>#VALUE!</v>
      </c>
      <c r="BV3" s="41" t="e">
        <f>AND(Duty!#REF!,"AAAAAG/a/kk=")</f>
        <v>#REF!</v>
      </c>
      <c r="BW3" s="41" t="e">
        <f>AND(Duty!#REF!,"AAAAAG/a/ko=")</f>
        <v>#REF!</v>
      </c>
      <c r="BX3" s="41" t="e">
        <f>AND(Duty!#REF!,"AAAAAG/a/ks=")</f>
        <v>#REF!</v>
      </c>
      <c r="BY3" s="41" t="e">
        <f>AND(Duty!O29,"AAAAAG/a/kw=")</f>
        <v>#VALUE!</v>
      </c>
      <c r="BZ3" s="41">
        <v>0</v>
      </c>
      <c r="CA3" s="41" t="e">
        <f>AND(Duty!A30,"AAAAAG/a/k4=")</f>
        <v>#VALUE!</v>
      </c>
      <c r="CB3" s="41" t="e">
        <f>AND(Duty!B30,"AAAAAG/a/k8=")</f>
        <v>#VALUE!</v>
      </c>
      <c r="CC3" s="41" t="e">
        <f>AND(Duty!C30,"AAAAAG/a/lA=")</f>
        <v>#VALUE!</v>
      </c>
      <c r="CD3" s="41" t="e">
        <f>AND(Duty!D30,"AAAAAG/a/lE=")</f>
        <v>#VALUE!</v>
      </c>
      <c r="CE3" s="41" t="e">
        <f>AND(Duty!#REF!,"AAAAAG/a/lI=")</f>
        <v>#REF!</v>
      </c>
      <c r="CF3" s="41" t="e">
        <f>AND(Duty!G30,"AAAAAG/a/lM=")</f>
        <v>#VALUE!</v>
      </c>
      <c r="CG3" s="41" t="e">
        <f>AND(Duty!H30,"AAAAAG/a/lQ=")</f>
        <v>#VALUE!</v>
      </c>
      <c r="CH3" s="41" t="e">
        <f>AND(Duty!I30,"AAAAAG/a/lU=")</f>
        <v>#VALUE!</v>
      </c>
      <c r="CI3" s="41" t="e">
        <f>AND(Duty!J30,"AAAAAG/a/lY=")</f>
        <v>#VALUE!</v>
      </c>
      <c r="CJ3" s="41" t="e">
        <f>AND(Duty!K30,"AAAAAG/a/lc=")</f>
        <v>#VALUE!</v>
      </c>
      <c r="CK3" s="41" t="e">
        <f>AND(Duty!L30,"AAAAAG/a/lg=")</f>
        <v>#VALUE!</v>
      </c>
      <c r="CL3" s="41" t="e">
        <f>AND(Duty!M30,"AAAAAG/a/lk=")</f>
        <v>#VALUE!</v>
      </c>
      <c r="CM3" s="41" t="e">
        <f>AND(Duty!#REF!,"AAAAAG/a/lo=")</f>
        <v>#REF!</v>
      </c>
      <c r="CN3" s="41" t="e">
        <f>AND(Duty!N30,"AAAAAG/a/ls=")</f>
        <v>#VALUE!</v>
      </c>
      <c r="CO3" s="41" t="e">
        <f>AND(Duty!#REF!,"AAAAAG/a/lw=")</f>
        <v>#REF!</v>
      </c>
      <c r="CP3" s="41" t="e">
        <f>AND(Duty!#REF!,"AAAAAG/a/l0=")</f>
        <v>#REF!</v>
      </c>
      <c r="CQ3" s="41" t="e">
        <f>AND(Duty!#REF!,"AAAAAG/a/l4=")</f>
        <v>#REF!</v>
      </c>
      <c r="CR3" s="41" t="e">
        <f>AND(Duty!O30,"AAAAAG/a/l8=")</f>
        <v>#VALUE!</v>
      </c>
      <c r="CS3" s="41">
        <v>0</v>
      </c>
      <c r="CT3" s="41" t="e">
        <f>AND(Duty!A33,"AAAAAG/a/mE=")</f>
        <v>#VALUE!</v>
      </c>
      <c r="CU3" s="41" t="e">
        <f>AND(Duty!B33,"AAAAAG/a/mI=")</f>
        <v>#VALUE!</v>
      </c>
      <c r="CV3" s="41" t="e">
        <f>AND(Duty!C33,"AAAAAG/a/mM=")</f>
        <v>#VALUE!</v>
      </c>
      <c r="CW3" s="41" t="e">
        <f>AND(Duty!D33,"AAAAAG/a/mQ=")</f>
        <v>#VALUE!</v>
      </c>
      <c r="CX3" s="41" t="e">
        <f>AND(Duty!#REF!,"AAAAAG/a/mU=")</f>
        <v>#REF!</v>
      </c>
      <c r="CY3" s="41" t="e">
        <f>AND(Duty!G33,"AAAAAG/a/mY=")</f>
        <v>#VALUE!</v>
      </c>
      <c r="CZ3" s="41" t="e">
        <f>AND(Duty!H33,"AAAAAG/a/mc=")</f>
        <v>#VALUE!</v>
      </c>
      <c r="DA3" s="41" t="e">
        <f>AND(Duty!I33,"AAAAAG/a/mg=")</f>
        <v>#VALUE!</v>
      </c>
      <c r="DB3" s="41" t="e">
        <f>AND(Duty!J33,"AAAAAG/a/mk=")</f>
        <v>#VALUE!</v>
      </c>
      <c r="DC3" s="41" t="e">
        <f>AND(Duty!K33,"AAAAAG/a/mo=")</f>
        <v>#VALUE!</v>
      </c>
      <c r="DD3" s="41" t="e">
        <f>AND(Duty!L33,"AAAAAG/a/ms=")</f>
        <v>#VALUE!</v>
      </c>
      <c r="DE3" s="41" t="e">
        <f>AND(Duty!M33,"AAAAAG/a/mw=")</f>
        <v>#VALUE!</v>
      </c>
      <c r="DF3" s="41" t="e">
        <f>AND(Duty!#REF!,"AAAAAG/a/m0=")</f>
        <v>#REF!</v>
      </c>
      <c r="DG3" s="41" t="e">
        <f>AND(Duty!N33,"AAAAAG/a/m4=")</f>
        <v>#VALUE!</v>
      </c>
      <c r="DH3" s="41" t="e">
        <f>AND(Duty!#REF!,"AAAAAG/a/m8=")</f>
        <v>#REF!</v>
      </c>
      <c r="DI3" s="41" t="e">
        <f>AND(Duty!#REF!,"AAAAAG/a/nA=")</f>
        <v>#REF!</v>
      </c>
      <c r="DJ3" s="41" t="e">
        <f>AND(Duty!#REF!,"AAAAAG/a/nE=")</f>
        <v>#REF!</v>
      </c>
      <c r="DK3" s="41" t="e">
        <f>AND(Duty!O33,"AAAAAG/a/nI=")</f>
        <v>#VALUE!</v>
      </c>
      <c r="DL3" s="41" t="e">
        <f>IF(Duty!#REF!,"AAAAAG/a/nM=",0)</f>
        <v>#REF!</v>
      </c>
      <c r="DM3" s="41" t="e">
        <f>AND(Duty!#REF!,"AAAAAG/a/nQ=")</f>
        <v>#REF!</v>
      </c>
      <c r="DN3" s="41" t="e">
        <f>AND(Duty!#REF!,"AAAAAG/a/nU=")</f>
        <v>#REF!</v>
      </c>
      <c r="DO3" s="41" t="e">
        <f>AND(Duty!#REF!,"AAAAAG/a/nY=")</f>
        <v>#REF!</v>
      </c>
      <c r="DP3" s="41" t="e">
        <f>AND(Duty!#REF!,"AAAAAG/a/nc=")</f>
        <v>#REF!</v>
      </c>
      <c r="DQ3" s="41" t="e">
        <f>AND(Duty!#REF!,"AAAAAG/a/ng=")</f>
        <v>#REF!</v>
      </c>
      <c r="DR3" s="41" t="e">
        <f>AND(Duty!#REF!,"AAAAAG/a/nk=")</f>
        <v>#REF!</v>
      </c>
      <c r="DS3" s="41" t="e">
        <f>AND(Duty!#REF!,"AAAAAG/a/no=")</f>
        <v>#REF!</v>
      </c>
      <c r="DT3" s="41" t="e">
        <f>AND(Duty!#REF!,"AAAAAG/a/ns=")</f>
        <v>#REF!</v>
      </c>
      <c r="DU3" s="41" t="e">
        <f>AND(Duty!#REF!,"AAAAAG/a/nw=")</f>
        <v>#REF!</v>
      </c>
      <c r="DV3" s="41" t="e">
        <f>AND(Duty!#REF!,"AAAAAG/a/n0=")</f>
        <v>#REF!</v>
      </c>
      <c r="DW3" s="41" t="e">
        <f>AND(Duty!#REF!,"AAAAAG/a/n4=")</f>
        <v>#REF!</v>
      </c>
      <c r="DX3" s="41" t="e">
        <f>AND(Duty!#REF!,"AAAAAG/a/n8=")</f>
        <v>#REF!</v>
      </c>
      <c r="DY3" s="41" t="e">
        <f>AND(Duty!#REF!,"AAAAAG/a/oA=")</f>
        <v>#REF!</v>
      </c>
      <c r="DZ3" s="41" t="e">
        <f>AND(Duty!#REF!,"AAAAAG/a/oE=")</f>
        <v>#REF!</v>
      </c>
      <c r="EA3" s="41" t="e">
        <f>AND(Duty!#REF!,"AAAAAG/a/oI=")</f>
        <v>#REF!</v>
      </c>
      <c r="EB3" s="41" t="e">
        <f>AND(Duty!#REF!,"AAAAAG/a/oM=")</f>
        <v>#REF!</v>
      </c>
      <c r="EC3" s="41" t="e">
        <f>AND(Duty!#REF!,"AAAAAG/a/oQ=")</f>
        <v>#REF!</v>
      </c>
      <c r="ED3" s="41" t="e">
        <f>AND(Duty!#REF!,"AAAAAG/a/oU=")</f>
        <v>#REF!</v>
      </c>
      <c r="EE3" s="41">
        <v>0</v>
      </c>
      <c r="EF3" s="41" t="e">
        <f>AND(Duty!A34,"AAAAAG/a/oc=")</f>
        <v>#VALUE!</v>
      </c>
      <c r="EG3" s="41" t="e">
        <f>AND(Duty!B34,"AAAAAG/a/og=")</f>
        <v>#VALUE!</v>
      </c>
      <c r="EH3" s="41" t="e">
        <f>AND(Duty!C34,"AAAAAG/a/ok=")</f>
        <v>#VALUE!</v>
      </c>
      <c r="EI3" s="41" t="e">
        <f>AND(Duty!D34,"AAAAAG/a/oo=")</f>
        <v>#VALUE!</v>
      </c>
      <c r="EJ3" s="41" t="e">
        <f>AND(Duty!#REF!,"AAAAAG/a/os=")</f>
        <v>#REF!</v>
      </c>
      <c r="EK3" s="41" t="e">
        <f>AND(Duty!G34,"AAAAAG/a/ow=")</f>
        <v>#VALUE!</v>
      </c>
      <c r="EL3" s="41" t="e">
        <f>AND(Duty!H34,"AAAAAG/a/o0=")</f>
        <v>#VALUE!</v>
      </c>
      <c r="EM3" s="41" t="e">
        <f>AND(Duty!I34,"AAAAAG/a/o4=")</f>
        <v>#VALUE!</v>
      </c>
      <c r="EN3" s="41" t="e">
        <f>AND(Duty!J34,"AAAAAG/a/o8=")</f>
        <v>#VALUE!</v>
      </c>
      <c r="EO3" s="41" t="e">
        <f>AND(Duty!K34,"AAAAAG/a/pA=")</f>
        <v>#VALUE!</v>
      </c>
      <c r="EP3" s="41" t="e">
        <f>AND(Duty!L34,"AAAAAG/a/pE=")</f>
        <v>#VALUE!</v>
      </c>
      <c r="EQ3" s="41" t="e">
        <f>AND(Duty!M34,"AAAAAG/a/pI=")</f>
        <v>#VALUE!</v>
      </c>
      <c r="ER3" s="41" t="e">
        <f>AND(Duty!#REF!,"AAAAAG/a/pM=")</f>
        <v>#REF!</v>
      </c>
      <c r="ES3" s="41" t="e">
        <f>AND(Duty!N34,"AAAAAG/a/pQ=")</f>
        <v>#VALUE!</v>
      </c>
      <c r="ET3" s="41" t="e">
        <f>AND(Duty!#REF!,"AAAAAG/a/pU=")</f>
        <v>#REF!</v>
      </c>
      <c r="EU3" s="41" t="e">
        <f>AND(Duty!#REF!,"AAAAAG/a/pY=")</f>
        <v>#REF!</v>
      </c>
      <c r="EV3" s="41" t="e">
        <f>AND(Duty!#REF!,"AAAAAG/a/pc=")</f>
        <v>#REF!</v>
      </c>
      <c r="EW3" s="41" t="e">
        <f>AND(Duty!O34,"AAAAAG/a/pg=")</f>
        <v>#VALUE!</v>
      </c>
      <c r="EX3" s="41">
        <v>0</v>
      </c>
      <c r="EY3" s="41" t="e">
        <f>AND(Duty!A35,"AAAAAG/a/po=")</f>
        <v>#VALUE!</v>
      </c>
      <c r="EZ3" s="41" t="e">
        <f>AND(Duty!B35,"AAAAAG/a/ps=")</f>
        <v>#VALUE!</v>
      </c>
      <c r="FA3" s="41" t="e">
        <f>AND(Duty!C35,"AAAAAG/a/pw=")</f>
        <v>#VALUE!</v>
      </c>
      <c r="FB3" s="41" t="e">
        <f>AND(Duty!D35,"AAAAAG/a/p0=")</f>
        <v>#VALUE!</v>
      </c>
      <c r="FC3" s="41" t="e">
        <f>AND(Duty!#REF!,"AAAAAG/a/p4=")</f>
        <v>#REF!</v>
      </c>
      <c r="FD3" s="41" t="e">
        <f>AND(Duty!G35,"AAAAAG/a/p8=")</f>
        <v>#VALUE!</v>
      </c>
      <c r="FE3" s="41" t="e">
        <f>AND(Duty!H35,"AAAAAG/a/qA=")</f>
        <v>#VALUE!</v>
      </c>
      <c r="FF3" s="41" t="e">
        <f>AND(Duty!I35,"AAAAAG/a/qE=")</f>
        <v>#VALUE!</v>
      </c>
      <c r="FG3" s="41" t="e">
        <f>AND(Duty!J35,"AAAAAG/a/qI=")</f>
        <v>#VALUE!</v>
      </c>
      <c r="FH3" s="41" t="e">
        <f>AND(Duty!K35,"AAAAAG/a/qM=")</f>
        <v>#VALUE!</v>
      </c>
      <c r="FI3" s="41" t="e">
        <f>AND(Duty!L35,"AAAAAG/a/qQ=")</f>
        <v>#VALUE!</v>
      </c>
      <c r="FJ3" s="41" t="e">
        <f>AND(Duty!M35,"AAAAAG/a/qU=")</f>
        <v>#VALUE!</v>
      </c>
      <c r="FK3" s="41" t="e">
        <f>AND(Duty!#REF!,"AAAAAG/a/qY=")</f>
        <v>#REF!</v>
      </c>
      <c r="FL3" s="41" t="e">
        <f>AND(Duty!N35,"AAAAAG/a/qc=")</f>
        <v>#VALUE!</v>
      </c>
      <c r="FM3" s="41" t="e">
        <f>AND(Duty!#REF!,"AAAAAG/a/qg=")</f>
        <v>#REF!</v>
      </c>
      <c r="FN3" s="41" t="e">
        <f>AND(Duty!#REF!,"AAAAAG/a/qk=")</f>
        <v>#REF!</v>
      </c>
      <c r="FO3" s="41" t="e">
        <f>AND(Duty!#REF!,"AAAAAG/a/qo=")</f>
        <v>#REF!</v>
      </c>
      <c r="FP3" s="41" t="e">
        <f>AND(Duty!O35,"AAAAAG/a/qs=")</f>
        <v>#VALUE!</v>
      </c>
      <c r="FQ3" s="41" t="e">
        <f>IF(Duty!#REF!,"AAAAAG/a/qw=",0)</f>
        <v>#REF!</v>
      </c>
      <c r="FR3" s="41" t="e">
        <f>AND(Duty!#REF!,"AAAAAG/a/q0=")</f>
        <v>#REF!</v>
      </c>
      <c r="FS3" s="41" t="e">
        <f>AND(Duty!#REF!,"AAAAAG/a/q4=")</f>
        <v>#REF!</v>
      </c>
      <c r="FT3" s="41" t="e">
        <f>AND(Duty!#REF!,"AAAAAG/a/q8=")</f>
        <v>#REF!</v>
      </c>
      <c r="FU3" s="41" t="e">
        <f>AND(Duty!#REF!,"AAAAAG/a/rA=")</f>
        <v>#REF!</v>
      </c>
      <c r="FV3" s="41" t="e">
        <f>AND(Duty!#REF!,"AAAAAG/a/rE=")</f>
        <v>#REF!</v>
      </c>
      <c r="FW3" s="41" t="e">
        <f>AND(Duty!#REF!,"AAAAAG/a/rI=")</f>
        <v>#REF!</v>
      </c>
      <c r="FX3" s="41" t="e">
        <f>AND(Duty!#REF!,"AAAAAG/a/rM=")</f>
        <v>#REF!</v>
      </c>
      <c r="FY3" s="41" t="e">
        <f>AND(Duty!#REF!,"AAAAAG/a/rQ=")</f>
        <v>#REF!</v>
      </c>
      <c r="FZ3" s="41" t="e">
        <f>AND(Duty!#REF!,"AAAAAG/a/rU=")</f>
        <v>#REF!</v>
      </c>
      <c r="GA3" s="41" t="e">
        <f>AND(Duty!#REF!,"AAAAAG/a/rY=")</f>
        <v>#REF!</v>
      </c>
      <c r="GB3" s="41" t="e">
        <f>AND(Duty!#REF!,"AAAAAG/a/rc=")</f>
        <v>#REF!</v>
      </c>
      <c r="GC3" s="41" t="e">
        <f>AND(Duty!#REF!,"AAAAAG/a/rg=")</f>
        <v>#REF!</v>
      </c>
      <c r="GD3" s="41" t="e">
        <f>AND(Duty!#REF!,"AAAAAG/a/rk=")</f>
        <v>#REF!</v>
      </c>
      <c r="GE3" s="41" t="e">
        <f>AND(Duty!#REF!,"AAAAAG/a/ro=")</f>
        <v>#REF!</v>
      </c>
      <c r="GF3" s="41" t="e">
        <f>AND(Duty!#REF!,"AAAAAG/a/rs=")</f>
        <v>#REF!</v>
      </c>
      <c r="GG3" s="41" t="e">
        <f>AND(Duty!#REF!,"AAAAAG/a/rw=")</f>
        <v>#REF!</v>
      </c>
      <c r="GH3" s="41" t="e">
        <f>AND(Duty!#REF!,"AAAAAG/a/r0=")</f>
        <v>#REF!</v>
      </c>
      <c r="GI3" s="41" t="e">
        <f>AND(Duty!#REF!,"AAAAAG/a/r4=")</f>
        <v>#REF!</v>
      </c>
      <c r="GJ3" s="41">
        <v>0</v>
      </c>
      <c r="GK3" s="41" t="e">
        <f>AND(Duty!A37,"AAAAAG/a/sA=")</f>
        <v>#VALUE!</v>
      </c>
      <c r="GL3" s="41" t="e">
        <f>AND(Duty!B37,"AAAAAG/a/sE=")</f>
        <v>#VALUE!</v>
      </c>
      <c r="GM3" s="41" t="e">
        <f>AND(Duty!C37,"AAAAAG/a/sI=")</f>
        <v>#VALUE!</v>
      </c>
      <c r="GN3" s="41" t="e">
        <f>AND(Duty!D36,"AAAAAG/a/sM=")</f>
        <v>#VALUE!</v>
      </c>
      <c r="GO3" s="41" t="e">
        <f>AND(Duty!#REF!,"AAAAAG/a/sQ=")</f>
        <v>#REF!</v>
      </c>
      <c r="GP3" s="41" t="e">
        <f>AND(Duty!G37,"AAAAAG/a/sU=")</f>
        <v>#VALUE!</v>
      </c>
      <c r="GQ3" s="41" t="e">
        <f>AND(Duty!H37,"AAAAAG/a/sY=")</f>
        <v>#VALUE!</v>
      </c>
      <c r="GR3" s="41" t="e">
        <f>AND(Duty!I37,"AAAAAG/a/sc=")</f>
        <v>#VALUE!</v>
      </c>
      <c r="GS3" s="41" t="e">
        <f>AND(Duty!J37,"AAAAAG/a/sg=")</f>
        <v>#VALUE!</v>
      </c>
      <c r="GT3" s="41" t="e">
        <f>AND(Duty!K37,"AAAAAG/a/sk=")</f>
        <v>#VALUE!</v>
      </c>
      <c r="GU3" s="41" t="e">
        <f>AND(Duty!L37,"AAAAAG/a/so=")</f>
        <v>#VALUE!</v>
      </c>
      <c r="GV3" s="41" t="e">
        <f>AND(Duty!M37,"AAAAAG/a/ss=")</f>
        <v>#VALUE!</v>
      </c>
      <c r="GW3" s="41" t="e">
        <f>AND(Duty!#REF!,"AAAAAG/a/sw=")</f>
        <v>#REF!</v>
      </c>
      <c r="GX3" s="41" t="e">
        <f>AND(Duty!N37,"AAAAAG/a/s0=")</f>
        <v>#VALUE!</v>
      </c>
      <c r="GY3" s="41" t="e">
        <f>AND(Duty!#REF!,"AAAAAG/a/s4=")</f>
        <v>#REF!</v>
      </c>
      <c r="GZ3" s="41" t="e">
        <f>AND(Duty!#REF!,"AAAAAG/a/s8=")</f>
        <v>#REF!</v>
      </c>
      <c r="HA3" s="41" t="e">
        <f>AND(Duty!#REF!,"AAAAAG/a/tA=")</f>
        <v>#REF!</v>
      </c>
      <c r="HB3" s="41" t="e">
        <f>AND(Duty!O37,"AAAAAG/a/tE=")</f>
        <v>#VALUE!</v>
      </c>
      <c r="HC3" s="41">
        <v>0</v>
      </c>
      <c r="HD3" s="41" t="e">
        <f>AND(Duty!A38,"AAAAAG/a/tM=")</f>
        <v>#VALUE!</v>
      </c>
      <c r="HE3" s="41" t="e">
        <f>AND(Duty!B38,"AAAAAG/a/tQ=")</f>
        <v>#VALUE!</v>
      </c>
      <c r="HF3" s="41" t="e">
        <f>AND(Duty!C38,"AAAAAG/a/tU=")</f>
        <v>#VALUE!</v>
      </c>
      <c r="HG3" s="41" t="e">
        <f>AND(Duty!#REF!,"AAAAAG/a/tY=")</f>
        <v>#REF!</v>
      </c>
      <c r="HH3" s="41" t="e">
        <f>AND(Duty!#REF!,"AAAAAG/a/tc=")</f>
        <v>#REF!</v>
      </c>
      <c r="HI3" s="41" t="e">
        <f>AND(Duty!G38,"AAAAAG/a/tg=")</f>
        <v>#VALUE!</v>
      </c>
      <c r="HJ3" s="41" t="e">
        <f>AND(Duty!H38,"AAAAAG/a/tk=")</f>
        <v>#VALUE!</v>
      </c>
      <c r="HK3" s="41" t="e">
        <f>AND(Duty!I38,"AAAAAG/a/to=")</f>
        <v>#VALUE!</v>
      </c>
      <c r="HL3" s="41" t="e">
        <f>AND(Duty!J38,"AAAAAG/a/ts=")</f>
        <v>#VALUE!</v>
      </c>
      <c r="HM3" s="41" t="e">
        <f>AND(Duty!K38,"AAAAAG/a/tw=")</f>
        <v>#VALUE!</v>
      </c>
      <c r="HN3" s="41" t="e">
        <f>AND(Duty!L38,"AAAAAG/a/t0=")</f>
        <v>#VALUE!</v>
      </c>
      <c r="HO3" s="41" t="e">
        <f>AND(Duty!M38,"AAAAAG/a/t4=")</f>
        <v>#VALUE!</v>
      </c>
      <c r="HP3" s="41" t="e">
        <f>AND(Duty!#REF!,"AAAAAG/a/t8=")</f>
        <v>#REF!</v>
      </c>
      <c r="HQ3" s="41" t="e">
        <f>AND(Duty!N38,"AAAAAG/a/uA=")</f>
        <v>#VALUE!</v>
      </c>
      <c r="HR3" s="41" t="e">
        <f>AND(Duty!#REF!,"AAAAAG/a/uE=")</f>
        <v>#REF!</v>
      </c>
      <c r="HS3" s="41" t="e">
        <f>AND(Duty!#REF!,"AAAAAG/a/uI=")</f>
        <v>#REF!</v>
      </c>
      <c r="HT3" s="41" t="e">
        <f>AND(Duty!#REF!,"AAAAAG/a/uM=")</f>
        <v>#REF!</v>
      </c>
      <c r="HU3" s="41" t="e">
        <f>AND(Duty!O38,"AAAAAG/a/uQ=")</f>
        <v>#VALUE!</v>
      </c>
      <c r="HV3" s="41">
        <v>0</v>
      </c>
      <c r="HW3" s="41" t="e">
        <f>AND(Duty!A39,"AAAAAG/a/uY=")</f>
        <v>#VALUE!</v>
      </c>
      <c r="HX3" s="41" t="e">
        <f>AND(Duty!B39,"AAAAAG/a/uc=")</f>
        <v>#VALUE!</v>
      </c>
      <c r="HY3" s="41" t="e">
        <f>AND(Duty!C39,"AAAAAG/a/ug=")</f>
        <v>#VALUE!</v>
      </c>
      <c r="HZ3" s="41" t="e">
        <f>AND(Duty!#REF!,"AAAAAG/a/uk=")</f>
        <v>#REF!</v>
      </c>
      <c r="IA3" s="41" t="e">
        <f>AND(Duty!#REF!,"AAAAAG/a/uo=")</f>
        <v>#REF!</v>
      </c>
      <c r="IB3" s="41" t="e">
        <f>AND(Duty!G39,"AAAAAG/a/us=")</f>
        <v>#VALUE!</v>
      </c>
      <c r="IC3" s="41" t="e">
        <f>AND(Duty!H39,"AAAAAG/a/uw=")</f>
        <v>#VALUE!</v>
      </c>
      <c r="ID3" s="41" t="e">
        <f>AND(Duty!I39,"AAAAAG/a/u0=")</f>
        <v>#VALUE!</v>
      </c>
      <c r="IE3" s="41" t="e">
        <f>AND(Duty!J39,"AAAAAG/a/u4=")</f>
        <v>#VALUE!</v>
      </c>
      <c r="IF3" s="41" t="e">
        <f>AND(Duty!K39,"AAAAAG/a/u8=")</f>
        <v>#VALUE!</v>
      </c>
      <c r="IG3" s="41" t="e">
        <f>AND(Duty!L39,"AAAAAG/a/vA=")</f>
        <v>#VALUE!</v>
      </c>
      <c r="IH3" s="41" t="e">
        <f>AND(Duty!M39,"AAAAAG/a/vE=")</f>
        <v>#VALUE!</v>
      </c>
      <c r="II3" s="41" t="e">
        <f>AND(Duty!#REF!,"AAAAAG/a/vI=")</f>
        <v>#REF!</v>
      </c>
      <c r="IJ3" s="41" t="e">
        <f>AND(Duty!N39,"AAAAAG/a/vM=")</f>
        <v>#VALUE!</v>
      </c>
      <c r="IK3" s="41" t="e">
        <f>AND(Duty!#REF!,"AAAAAG/a/vQ=")</f>
        <v>#REF!</v>
      </c>
      <c r="IL3" s="41" t="e">
        <f>AND(Duty!#REF!,"AAAAAG/a/vU=")</f>
        <v>#REF!</v>
      </c>
      <c r="IM3" s="41" t="e">
        <f>AND(Duty!#REF!,"AAAAAG/a/vY=")</f>
        <v>#REF!</v>
      </c>
      <c r="IN3" s="41" t="e">
        <f>AND(Duty!O39,"AAAAAG/a/vc=")</f>
        <v>#VALUE!</v>
      </c>
      <c r="IO3" s="41">
        <v>0</v>
      </c>
      <c r="IP3" s="41" t="e">
        <f>AND(Duty!A40,"AAAAAG/a/vk=")</f>
        <v>#VALUE!</v>
      </c>
      <c r="IQ3" s="41" t="e">
        <f>AND(Duty!B40,"AAAAAG/a/vo=")</f>
        <v>#VALUE!</v>
      </c>
      <c r="IR3" s="41" t="e">
        <f>AND(Duty!C40,"AAAAAG/a/vs=")</f>
        <v>#VALUE!</v>
      </c>
      <c r="IS3" s="41" t="e">
        <f>AND(Duty!#REF!,"AAAAAG/a/vw=")</f>
        <v>#REF!</v>
      </c>
      <c r="IT3" s="41" t="e">
        <f>AND(Duty!#REF!,"AAAAAG/a/v0=")</f>
        <v>#REF!</v>
      </c>
      <c r="IU3" s="41" t="e">
        <f>AND(Duty!G40,"AAAAAG/a/v4=")</f>
        <v>#VALUE!</v>
      </c>
      <c r="IV3" s="41" t="e">
        <f>AND(Duty!H40,"AAAAAG/a/v8=")</f>
        <v>#VALUE!</v>
      </c>
    </row>
    <row r="4" spans="1:256" x14ac:dyDescent="0.2">
      <c r="A4" s="41" t="e">
        <f>AND(Duty!I40,"AAAAAC35nwA=")</f>
        <v>#VALUE!</v>
      </c>
      <c r="B4" s="41" t="e">
        <f>AND(Duty!J40,"AAAAAC35nwE=")</f>
        <v>#VALUE!</v>
      </c>
      <c r="C4" s="41" t="e">
        <f>AND(Duty!K40,"AAAAAC35nwI=")</f>
        <v>#VALUE!</v>
      </c>
      <c r="D4" s="41" t="e">
        <f>AND(Duty!L40,"AAAAAC35nwM=")</f>
        <v>#VALUE!</v>
      </c>
      <c r="E4" s="41" t="e">
        <f>AND(Duty!M40,"AAAAAC35nwQ=")</f>
        <v>#VALUE!</v>
      </c>
      <c r="F4" s="41" t="e">
        <f>AND(Duty!#REF!,"AAAAAC35nwU=")</f>
        <v>#REF!</v>
      </c>
      <c r="G4" s="41" t="e">
        <f>AND(Duty!N40,"AAAAAC35nwY=")</f>
        <v>#VALUE!</v>
      </c>
      <c r="H4" s="41" t="e">
        <f>AND(Duty!#REF!,"AAAAAC35nwc=")</f>
        <v>#REF!</v>
      </c>
      <c r="I4" s="41" t="e">
        <f>AND(Duty!#REF!,"AAAAAC35nwg=")</f>
        <v>#REF!</v>
      </c>
      <c r="J4" s="41" t="e">
        <f>AND(Duty!#REF!,"AAAAAC35nwk=")</f>
        <v>#REF!</v>
      </c>
      <c r="K4" s="41" t="e">
        <f>AND(Duty!O40,"AAAAAC35nwo=")</f>
        <v>#VALUE!</v>
      </c>
      <c r="L4" s="41">
        <v>0</v>
      </c>
      <c r="M4" s="41" t="e">
        <f>AND(Duty!A41,"AAAAAC35nww=")</f>
        <v>#VALUE!</v>
      </c>
      <c r="N4" s="41" t="e">
        <f>AND(Duty!B41,"AAAAAC35nw0=")</f>
        <v>#VALUE!</v>
      </c>
      <c r="O4" s="41" t="e">
        <f>AND(Duty!C41,"AAAAAC35nw4=")</f>
        <v>#VALUE!</v>
      </c>
      <c r="P4" s="41" t="e">
        <f>AND(Duty!#REF!,"AAAAAC35nw8=")</f>
        <v>#REF!</v>
      </c>
      <c r="Q4" s="41" t="e">
        <f>AND(Duty!#REF!,"AAAAAC35nxA=")</f>
        <v>#REF!</v>
      </c>
      <c r="R4" s="41" t="e">
        <f>AND(Duty!G41,"AAAAAC35nxE=")</f>
        <v>#VALUE!</v>
      </c>
      <c r="S4" s="41" t="e">
        <f>AND(Duty!H41,"AAAAAC35nxI=")</f>
        <v>#VALUE!</v>
      </c>
      <c r="T4" s="41" t="e">
        <f>AND(Duty!I41,"AAAAAC35nxM=")</f>
        <v>#VALUE!</v>
      </c>
      <c r="U4" s="41" t="e">
        <f>AND(Duty!J41,"AAAAAC35nxQ=")</f>
        <v>#VALUE!</v>
      </c>
      <c r="V4" s="41" t="e">
        <f>AND(Duty!K41,"AAAAAC35nxU=")</f>
        <v>#VALUE!</v>
      </c>
      <c r="W4" s="41" t="e">
        <f>AND(Duty!L41,"AAAAAC35nxY=")</f>
        <v>#VALUE!</v>
      </c>
      <c r="X4" s="41" t="e">
        <f>AND(Duty!M41,"AAAAAC35nxc=")</f>
        <v>#VALUE!</v>
      </c>
      <c r="Y4" s="41" t="e">
        <f>AND(Duty!#REF!,"AAAAAC35nxg=")</f>
        <v>#REF!</v>
      </c>
      <c r="Z4" s="41" t="e">
        <f>AND(Duty!N41,"AAAAAC35nxk=")</f>
        <v>#VALUE!</v>
      </c>
      <c r="AA4" s="41" t="e">
        <f>AND(Duty!#REF!,"AAAAAC35nxo=")</f>
        <v>#REF!</v>
      </c>
      <c r="AB4" s="41" t="e">
        <f>AND(Duty!#REF!,"AAAAAC35nxs=")</f>
        <v>#REF!</v>
      </c>
      <c r="AC4" s="41" t="e">
        <f>AND(Duty!#REF!,"AAAAAC35nxw=")</f>
        <v>#REF!</v>
      </c>
      <c r="AD4" s="41" t="e">
        <f>AND(Duty!O41,"AAAAAC35nx0=")</f>
        <v>#VALUE!</v>
      </c>
      <c r="AE4" s="41">
        <v>0</v>
      </c>
      <c r="AF4" s="41" t="e">
        <f>AND(Duty!A42,"AAAAAC35nx8=")</f>
        <v>#VALUE!</v>
      </c>
      <c r="AG4" s="41" t="e">
        <f>AND(Duty!B42,"AAAAAC35nyA=")</f>
        <v>#VALUE!</v>
      </c>
      <c r="AH4" s="41" t="e">
        <f>AND(Duty!C42,"AAAAAC35nyE=")</f>
        <v>#VALUE!</v>
      </c>
      <c r="AI4" s="41" t="e">
        <f>AND(Duty!#REF!,"AAAAAC35nyI=")</f>
        <v>#REF!</v>
      </c>
      <c r="AJ4" s="41" t="e">
        <f>AND(Duty!#REF!,"AAAAAC35nyM=")</f>
        <v>#REF!</v>
      </c>
      <c r="AK4" s="41" t="e">
        <f>AND(Duty!G42,"AAAAAC35nyQ=")</f>
        <v>#VALUE!</v>
      </c>
      <c r="AL4" s="41" t="e">
        <f>AND(Duty!H42,"AAAAAC35nyU=")</f>
        <v>#VALUE!</v>
      </c>
      <c r="AM4" s="41" t="e">
        <f>AND(Duty!I42,"AAAAAC35nyY=")</f>
        <v>#VALUE!</v>
      </c>
      <c r="AN4" s="41" t="e">
        <f>AND(Duty!J42,"AAAAAC35nyc=")</f>
        <v>#VALUE!</v>
      </c>
      <c r="AO4" s="41" t="e">
        <f>AND(Duty!K42,"AAAAAC35nyg=")</f>
        <v>#VALUE!</v>
      </c>
      <c r="AP4" s="41" t="e">
        <f>AND(Duty!L42,"AAAAAC35nyk=")</f>
        <v>#VALUE!</v>
      </c>
      <c r="AQ4" s="41" t="e">
        <f>AND(Duty!M42,"AAAAAC35nyo=")</f>
        <v>#VALUE!</v>
      </c>
      <c r="AR4" s="41" t="e">
        <f>AND(Duty!#REF!,"AAAAAC35nys=")</f>
        <v>#REF!</v>
      </c>
      <c r="AS4" s="41" t="e">
        <f>AND(Duty!N42,"AAAAAC35nyw=")</f>
        <v>#VALUE!</v>
      </c>
      <c r="AT4" s="41" t="e">
        <f>AND(Duty!#REF!,"AAAAAC35ny0=")</f>
        <v>#REF!</v>
      </c>
      <c r="AU4" s="41" t="e">
        <f>AND(Duty!#REF!,"AAAAAC35ny4=")</f>
        <v>#REF!</v>
      </c>
      <c r="AV4" s="41" t="e">
        <f>AND(Duty!#REF!,"AAAAAC35ny8=")</f>
        <v>#REF!</v>
      </c>
      <c r="AW4" s="41" t="e">
        <f>AND(Duty!O42,"AAAAAC35nzA=")</f>
        <v>#VALUE!</v>
      </c>
      <c r="AX4" s="41">
        <v>0</v>
      </c>
      <c r="AY4" s="41" t="e">
        <f>AND(Duty!A36,"AAAAAC35nzI=")</f>
        <v>#VALUE!</v>
      </c>
      <c r="AZ4" s="41" t="e">
        <f>AND(Duty!B36,"AAAAAC35nzM=")</f>
        <v>#VALUE!</v>
      </c>
      <c r="BA4" s="41" t="e">
        <f>AND(Duty!C36,"AAAAAC35nzQ=")</f>
        <v>#VALUE!</v>
      </c>
      <c r="BB4" s="41" t="e">
        <f>AND(Duty!#REF!,"AAAAAC35nzU=")</f>
        <v>#REF!</v>
      </c>
      <c r="BC4" s="41" t="e">
        <f>AND(Duty!#REF!,"AAAAAC35nzY=")</f>
        <v>#REF!</v>
      </c>
      <c r="BD4" s="41" t="e">
        <f>AND(Duty!G36,"AAAAAC35nzc=")</f>
        <v>#VALUE!</v>
      </c>
      <c r="BE4" s="41" t="e">
        <f>AND(Duty!H36,"AAAAAC35nzg=")</f>
        <v>#VALUE!</v>
      </c>
      <c r="BF4" s="41" t="e">
        <f>AND(Duty!I36,"AAAAAC35nzk=")</f>
        <v>#VALUE!</v>
      </c>
      <c r="BG4" s="41" t="e">
        <f>AND(Duty!J36,"AAAAAC35nzo=")</f>
        <v>#VALUE!</v>
      </c>
      <c r="BH4" s="41" t="e">
        <f>AND(Duty!K36,"AAAAAC35nzs=")</f>
        <v>#VALUE!</v>
      </c>
      <c r="BI4" s="41" t="e">
        <f>AND(Duty!L36,"AAAAAC35nzw=")</f>
        <v>#VALUE!</v>
      </c>
      <c r="BJ4" s="41" t="e">
        <f>AND(Duty!M36,"AAAAAC35nz0=")</f>
        <v>#VALUE!</v>
      </c>
      <c r="BK4" s="41" t="e">
        <f>AND(Duty!#REF!,"AAAAAC35nz4=")</f>
        <v>#REF!</v>
      </c>
      <c r="BL4" s="41" t="e">
        <f>AND(Duty!N36,"AAAAAC35nz8=")</f>
        <v>#VALUE!</v>
      </c>
      <c r="BM4" s="41" t="e">
        <f>AND(Duty!#REF!,"AAAAAC35n0A=")</f>
        <v>#REF!</v>
      </c>
      <c r="BN4" s="41" t="e">
        <f>AND(Duty!#REF!,"AAAAAC35n0E=")</f>
        <v>#REF!</v>
      </c>
      <c r="BO4" s="41" t="e">
        <f>AND(Duty!#REF!,"AAAAAC35n0I=")</f>
        <v>#REF!</v>
      </c>
      <c r="BP4" s="41" t="e">
        <f>AND(Duty!O36,"AAAAAC35n0M=")</f>
        <v>#VALUE!</v>
      </c>
      <c r="BQ4" s="41" t="e">
        <f>IF(Duty!#REF!,"AAAAAC35n0Q=",0)</f>
        <v>#REF!</v>
      </c>
      <c r="BR4" s="41" t="s">
        <v>124</v>
      </c>
      <c r="BS4" s="41" t="s">
        <v>123</v>
      </c>
      <c r="BT4" s="41" t="s">
        <v>123</v>
      </c>
      <c r="BU4" s="41" t="s">
        <v>123</v>
      </c>
      <c r="BV4" s="41" t="e">
        <f>IF(Duty!#REF!,"AAAAAC35n0k=",0)</f>
        <v>#REF!</v>
      </c>
      <c r="BW4" s="41" t="s">
        <v>123</v>
      </c>
      <c r="BX4" s="41" t="s">
        <v>123</v>
      </c>
      <c r="BY4" s="41">
        <v>0</v>
      </c>
      <c r="BZ4" s="41">
        <v>0</v>
      </c>
      <c r="CA4" s="41">
        <v>0</v>
      </c>
      <c r="CB4" s="41">
        <v>0</v>
      </c>
      <c r="CC4" s="41">
        <v>0</v>
      </c>
      <c r="CD4" s="41">
        <v>0</v>
      </c>
      <c r="CE4" s="41">
        <v>0</v>
      </c>
      <c r="CF4" s="41">
        <v>0</v>
      </c>
      <c r="CG4" s="41">
        <v>0</v>
      </c>
      <c r="CH4" s="41" t="e">
        <f>IF(Duty!#REF!,"AAAAAC35n1U=",0)</f>
        <v>#REF!</v>
      </c>
      <c r="CI4" s="41">
        <v>0</v>
      </c>
      <c r="CJ4" s="41">
        <v>0</v>
      </c>
      <c r="CK4" s="41" t="e">
        <f>AND('RC expenses'!A1,"AAAAAC35n1g=")</f>
        <v>#VALUE!</v>
      </c>
      <c r="CL4" s="41" t="s">
        <v>125</v>
      </c>
      <c r="CM4" s="41" t="s">
        <v>126</v>
      </c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  <c r="DQ4" s="29"/>
      <c r="DR4" s="29"/>
      <c r="DS4" s="29"/>
      <c r="DT4" s="29"/>
      <c r="DU4" s="29"/>
      <c r="DV4" s="29"/>
      <c r="DW4" s="29"/>
      <c r="DX4" s="29"/>
      <c r="DY4" s="29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29"/>
      <c r="ET4" s="29"/>
      <c r="EU4" s="29"/>
      <c r="EV4" s="29"/>
      <c r="EW4" s="29"/>
      <c r="EX4" s="29"/>
      <c r="EY4" s="29"/>
      <c r="EZ4" s="29"/>
      <c r="FA4" s="29"/>
      <c r="FB4" s="29"/>
      <c r="FC4" s="29"/>
      <c r="FD4" s="29"/>
      <c r="FE4" s="29"/>
      <c r="FF4" s="29"/>
      <c r="FG4" s="29"/>
      <c r="FH4" s="29"/>
      <c r="FI4" s="29"/>
      <c r="FJ4" s="29"/>
      <c r="FK4" s="29"/>
      <c r="FL4" s="29"/>
      <c r="FM4" s="29"/>
      <c r="FN4" s="29"/>
      <c r="FO4" s="29"/>
      <c r="FP4" s="29"/>
      <c r="FQ4" s="29"/>
      <c r="FR4" s="29"/>
      <c r="FS4" s="29"/>
      <c r="FT4" s="29"/>
      <c r="FU4" s="29"/>
      <c r="FV4" s="29"/>
      <c r="FW4" s="29"/>
      <c r="FX4" s="29"/>
      <c r="FY4" s="29"/>
      <c r="FZ4" s="29"/>
      <c r="GA4" s="29"/>
      <c r="GB4" s="29"/>
      <c r="GC4" s="29"/>
      <c r="GD4" s="29"/>
      <c r="GE4" s="29"/>
      <c r="GF4" s="29"/>
      <c r="GG4" s="29"/>
      <c r="GH4" s="29"/>
      <c r="GI4" s="29"/>
      <c r="GJ4" s="29"/>
      <c r="GK4" s="29"/>
      <c r="GL4" s="29"/>
      <c r="GM4" s="29"/>
      <c r="GN4" s="29"/>
      <c r="GO4" s="29"/>
      <c r="GP4" s="29"/>
      <c r="GQ4" s="29"/>
      <c r="GR4" s="29"/>
      <c r="GS4" s="29"/>
      <c r="GT4" s="29"/>
      <c r="GU4" s="29"/>
      <c r="GV4" s="29"/>
      <c r="GW4" s="29"/>
      <c r="GX4" s="29"/>
      <c r="GY4" s="29"/>
      <c r="GZ4" s="29"/>
      <c r="HA4" s="29"/>
      <c r="HB4" s="29"/>
      <c r="HC4" s="29"/>
      <c r="HD4" s="29"/>
      <c r="HE4" s="29"/>
      <c r="HF4" s="29"/>
      <c r="HG4" s="29"/>
      <c r="HH4" s="29"/>
      <c r="HI4" s="29"/>
      <c r="HJ4" s="29"/>
      <c r="HK4" s="29"/>
      <c r="HL4" s="29"/>
      <c r="HM4" s="29"/>
      <c r="HN4" s="29"/>
      <c r="HO4" s="29"/>
      <c r="HP4" s="29"/>
      <c r="HQ4" s="29"/>
      <c r="HR4" s="29"/>
      <c r="HS4" s="29"/>
      <c r="HT4" s="29"/>
      <c r="HU4" s="29"/>
      <c r="HV4" s="29"/>
      <c r="HW4" s="29"/>
      <c r="HX4" s="29"/>
      <c r="HY4" s="29"/>
      <c r="HZ4" s="29"/>
      <c r="IA4" s="29"/>
      <c r="IB4" s="29"/>
      <c r="IC4" s="29"/>
      <c r="ID4" s="29"/>
      <c r="IE4" s="29"/>
      <c r="IF4" s="29"/>
      <c r="IG4" s="29"/>
      <c r="IH4" s="29"/>
      <c r="II4" s="29"/>
      <c r="IJ4" s="29"/>
      <c r="IK4" s="29"/>
      <c r="IL4" s="29"/>
      <c r="IM4" s="29"/>
      <c r="IN4" s="29"/>
      <c r="IO4" s="29"/>
      <c r="IP4" s="29"/>
      <c r="IQ4" s="29"/>
      <c r="IR4" s="29"/>
      <c r="IS4" s="29"/>
      <c r="IT4" s="29"/>
      <c r="IU4" s="29"/>
      <c r="IV4" s="29"/>
    </row>
    <row r="5" spans="1:256" x14ac:dyDescent="0.2">
      <c r="A5" s="41" t="s">
        <v>123</v>
      </c>
      <c r="B5" s="41" t="e">
        <f>AND(ROARS!A1,"AAAAAHT/fQE=")</f>
        <v>#VALUE!</v>
      </c>
      <c r="C5" s="41" t="e">
        <f>AND(ROARS!B1,"AAAAAHT/fQI=")</f>
        <v>#VALUE!</v>
      </c>
      <c r="D5" s="41" t="e">
        <f>AND(ROARS!C1,"AAAAAHT/fQM=")</f>
        <v>#VALUE!</v>
      </c>
      <c r="E5" s="41" t="e">
        <f>AND(ROARS!D1,"AAAAAHT/fQQ=")</f>
        <v>#VALUE!</v>
      </c>
      <c r="F5" s="41" t="e">
        <f>AND(ROARS!E1,"AAAAAHT/fQU=")</f>
        <v>#VALUE!</v>
      </c>
      <c r="G5" s="41" t="e">
        <f>AND(ROARS!F1,"AAAAAHT/fQY=")</f>
        <v>#VALUE!</v>
      </c>
      <c r="H5" s="41" t="e">
        <f>AND(ROARS!G1,"AAAAAHT/fQc=")</f>
        <v>#VALUE!</v>
      </c>
      <c r="I5" s="41" t="e">
        <f>AND(ROARS!H1,"AAAAAHT/fQg=")</f>
        <v>#VALUE!</v>
      </c>
      <c r="J5" s="41" t="e">
        <f>AND(ROARS!#REF!,"AAAAAHT/fQk=")</f>
        <v>#REF!</v>
      </c>
      <c r="K5" s="41" t="e">
        <f>AND(ROARS!#REF!,"AAAAAHT/fQo=")</f>
        <v>#REF!</v>
      </c>
      <c r="L5" s="41" t="e">
        <f>AND(ROARS!#REF!,"AAAAAHT/fQs=")</f>
        <v>#REF!</v>
      </c>
      <c r="M5" s="41" t="e">
        <f>AND(ROARS!#REF!,"AAAAAHT/fQw=")</f>
        <v>#REF!</v>
      </c>
      <c r="N5" s="41" t="e">
        <f>AND(ROARS!K1,"AAAAAHT/fQ0=")</f>
        <v>#VALUE!</v>
      </c>
      <c r="O5" s="41" t="e">
        <f>AND(ROARS!L1,"AAAAAHT/fQ4=")</f>
        <v>#VALUE!</v>
      </c>
      <c r="P5" s="41" t="e">
        <f>AND(ROARS!M1,"AAAAAHT/fQ8=")</f>
        <v>#VALUE!</v>
      </c>
      <c r="Q5" s="41" t="e">
        <f>AND(ROARS!N1,"AAAAAHT/fRA=")</f>
        <v>#VALUE!</v>
      </c>
      <c r="R5" s="41" t="e">
        <f>AND(ROARS!O1,"AAAAAHT/fRE=")</f>
        <v>#VALUE!</v>
      </c>
      <c r="S5" s="41" t="e">
        <f>AND(ROARS!P1,"AAAAAHT/fRI=")</f>
        <v>#VALUE!</v>
      </c>
      <c r="T5" s="41" t="e">
        <f>AND(ROARS!Q1,"AAAAAHT/fRM=")</f>
        <v>#VALUE!</v>
      </c>
      <c r="U5" s="41" t="e">
        <f>AND(ROARS!R1,"AAAAAHT/fRQ=")</f>
        <v>#VALUE!</v>
      </c>
      <c r="V5" s="41">
        <v>0</v>
      </c>
      <c r="W5" s="41" t="e">
        <f>AND(ROARS!A2,"AAAAAHT/fRY=")</f>
        <v>#VALUE!</v>
      </c>
      <c r="X5" s="41" t="e">
        <f>AND(ROARS!B2,"AAAAAHT/fRc=")</f>
        <v>#VALUE!</v>
      </c>
      <c r="Y5" s="41" t="e">
        <f>AND(ROARS!C2,"AAAAAHT/fRg=")</f>
        <v>#VALUE!</v>
      </c>
      <c r="Z5" s="41" t="e">
        <f>AND(ROARS!D2,"AAAAAHT/fRk=")</f>
        <v>#VALUE!</v>
      </c>
      <c r="AA5" s="41" t="e">
        <f>AND(ROARS!E2,"AAAAAHT/fRo=")</f>
        <v>#VALUE!</v>
      </c>
      <c r="AB5" s="41" t="e">
        <f>AND(ROARS!F2,"AAAAAHT/fRs=")</f>
        <v>#VALUE!</v>
      </c>
      <c r="AC5" s="41">
        <v>0</v>
      </c>
      <c r="AD5" s="41" t="e">
        <f>AND(ROARS!A3,"AAAAAHT/fR0=")</f>
        <v>#VALUE!</v>
      </c>
      <c r="AE5" s="41" t="e">
        <f>AND(ROARS!B3,"AAAAAHT/fR4=")</f>
        <v>#VALUE!</v>
      </c>
      <c r="AF5" s="41" t="e">
        <f>AND(ROARS!C3,"AAAAAHT/fR8=")</f>
        <v>#VALUE!</v>
      </c>
      <c r="AG5" s="41" t="e">
        <f>AND(ROARS!D3,"AAAAAHT/fSA=")</f>
        <v>#VALUE!</v>
      </c>
      <c r="AH5" s="41" t="e">
        <f>AND(ROARS!E3,"AAAAAHT/fSE=")</f>
        <v>#VALUE!</v>
      </c>
      <c r="AI5" s="41" t="e">
        <f>AND(ROARS!F3,"AAAAAHT/fSI=")</f>
        <v>#VALUE!</v>
      </c>
      <c r="AJ5" s="41">
        <v>0</v>
      </c>
      <c r="AK5" s="41" t="e">
        <f>AND(ROARS!A4,"AAAAAHT/fSQ=")</f>
        <v>#VALUE!</v>
      </c>
      <c r="AL5" s="41" t="e">
        <f>AND(ROARS!B4,"AAAAAHT/fSU=")</f>
        <v>#VALUE!</v>
      </c>
      <c r="AM5" s="41" t="e">
        <f>AND(ROARS!C4,"AAAAAHT/fSY=")</f>
        <v>#VALUE!</v>
      </c>
      <c r="AN5" s="41" t="e">
        <f>AND(ROARS!D4,"AAAAAHT/fSc=")</f>
        <v>#VALUE!</v>
      </c>
      <c r="AO5" s="41" t="e">
        <f>AND(ROARS!E4,"AAAAAHT/fSg=")</f>
        <v>#VALUE!</v>
      </c>
      <c r="AP5" s="41" t="e">
        <f>AND(ROARS!F4,"AAAAAHT/fSk=")</f>
        <v>#VALUE!</v>
      </c>
      <c r="AQ5" s="41">
        <v>0</v>
      </c>
      <c r="AR5" s="41" t="e">
        <f>AND(ROARS!A5,"AAAAAHT/fSs=")</f>
        <v>#VALUE!</v>
      </c>
      <c r="AS5" s="41" t="e">
        <f>AND(ROARS!B5,"AAAAAHT/fSw=")</f>
        <v>#VALUE!</v>
      </c>
      <c r="AT5" s="41" t="e">
        <f>AND(ROARS!C5,"AAAAAHT/fS0=")</f>
        <v>#VALUE!</v>
      </c>
      <c r="AU5" s="41" t="e">
        <f>AND(ROARS!D5,"AAAAAHT/fS4=")</f>
        <v>#VALUE!</v>
      </c>
      <c r="AV5" s="41" t="e">
        <f>AND(ROARS!E5,"AAAAAHT/fS8=")</f>
        <v>#VALUE!</v>
      </c>
      <c r="AW5" s="41" t="e">
        <f>AND(ROARS!F5,"AAAAAHT/fTA=")</f>
        <v>#VALUE!</v>
      </c>
      <c r="AX5" s="41">
        <v>0</v>
      </c>
      <c r="AY5" s="41" t="e">
        <f>AND(ROARS!A6,"AAAAAHT/fTI=")</f>
        <v>#VALUE!</v>
      </c>
      <c r="AZ5" s="41" t="e">
        <f>AND(ROARS!B6,"AAAAAHT/fTM=")</f>
        <v>#VALUE!</v>
      </c>
      <c r="BA5" s="41" t="e">
        <f>AND(ROARS!C6,"AAAAAHT/fTQ=")</f>
        <v>#VALUE!</v>
      </c>
      <c r="BB5" s="41" t="e">
        <f>AND(ROARS!D6,"AAAAAHT/fTU=")</f>
        <v>#VALUE!</v>
      </c>
      <c r="BC5" s="41" t="e">
        <f>AND(ROARS!E6,"AAAAAHT/fTY=")</f>
        <v>#VALUE!</v>
      </c>
      <c r="BD5" s="41" t="e">
        <f>AND(ROARS!F6,"AAAAAHT/fTc=")</f>
        <v>#VALUE!</v>
      </c>
      <c r="BE5" s="41">
        <v>0</v>
      </c>
      <c r="BF5" s="41" t="e">
        <f>AND(ROARS!A7,"AAAAAHT/fTk=")</f>
        <v>#VALUE!</v>
      </c>
      <c r="BG5" s="41" t="e">
        <f>AND(ROARS!B7,"AAAAAHT/fTo=")</f>
        <v>#VALUE!</v>
      </c>
      <c r="BH5" s="41" t="e">
        <f>AND(ROARS!C7,"AAAAAHT/fTs=")</f>
        <v>#VALUE!</v>
      </c>
      <c r="BI5" s="41" t="e">
        <f>AND(ROARS!D7,"AAAAAHT/fTw=")</f>
        <v>#VALUE!</v>
      </c>
      <c r="BJ5" s="41" t="e">
        <f>AND(ROARS!E7,"AAAAAHT/fT0=")</f>
        <v>#VALUE!</v>
      </c>
      <c r="BK5" s="41" t="e">
        <f>AND(ROARS!F7,"AAAAAHT/fT4=")</f>
        <v>#VALUE!</v>
      </c>
      <c r="BL5" s="41">
        <v>0</v>
      </c>
      <c r="BM5" s="41" t="e">
        <f>AND(ROARS!A8,"AAAAAHT/fUA=")</f>
        <v>#VALUE!</v>
      </c>
      <c r="BN5" s="41" t="e">
        <f>AND(ROARS!B8,"AAAAAHT/fUE=")</f>
        <v>#VALUE!</v>
      </c>
      <c r="BO5" s="41" t="e">
        <f>AND(ROARS!C8,"AAAAAHT/fUI=")</f>
        <v>#VALUE!</v>
      </c>
      <c r="BP5" s="41" t="e">
        <f>AND(ROARS!D8,"AAAAAHT/fUM=")</f>
        <v>#VALUE!</v>
      </c>
      <c r="BQ5" s="41" t="e">
        <f>AND(ROARS!E8,"AAAAAHT/fUQ=")</f>
        <v>#VALUE!</v>
      </c>
      <c r="BR5" s="41" t="e">
        <f>AND(ROARS!F8,"AAAAAHT/fUU=")</f>
        <v>#VALUE!</v>
      </c>
      <c r="BS5" s="41">
        <v>0</v>
      </c>
      <c r="BT5" s="41" t="e">
        <f>AND(ROARS!A9,"AAAAAHT/fUc=")</f>
        <v>#VALUE!</v>
      </c>
      <c r="BU5" s="41" t="e">
        <f>AND(ROARS!B9,"AAAAAHT/fUg=")</f>
        <v>#VALUE!</v>
      </c>
      <c r="BV5" s="41" t="e">
        <f>AND(ROARS!C9,"AAAAAHT/fUk=")</f>
        <v>#VALUE!</v>
      </c>
      <c r="BW5" s="41" t="e">
        <f>AND(ROARS!D9,"AAAAAHT/fUo=")</f>
        <v>#VALUE!</v>
      </c>
      <c r="BX5" s="41" t="e">
        <f>AND(ROARS!E9,"AAAAAHT/fUs=")</f>
        <v>#VALUE!</v>
      </c>
      <c r="BY5" s="41" t="e">
        <f>AND(ROARS!F9,"AAAAAHT/fUw=")</f>
        <v>#VALUE!</v>
      </c>
      <c r="BZ5" s="41" t="s">
        <v>123</v>
      </c>
      <c r="CA5" s="41" t="s">
        <v>123</v>
      </c>
      <c r="CB5" s="41" t="s">
        <v>123</v>
      </c>
      <c r="CC5" s="41" t="s">
        <v>127</v>
      </c>
      <c r="CD5" s="41" t="s">
        <v>123</v>
      </c>
      <c r="CE5" s="41" t="s">
        <v>128</v>
      </c>
      <c r="CF5" s="41">
        <v>0</v>
      </c>
      <c r="CG5" s="41">
        <v>0</v>
      </c>
      <c r="CH5" s="41" t="s">
        <v>123</v>
      </c>
      <c r="CI5" s="41" t="s">
        <v>123</v>
      </c>
      <c r="CJ5" s="41">
        <v>0</v>
      </c>
      <c r="CK5" s="41">
        <v>0</v>
      </c>
      <c r="CL5" s="41">
        <v>0</v>
      </c>
      <c r="CM5" s="41">
        <v>0</v>
      </c>
      <c r="CN5" s="41">
        <v>0</v>
      </c>
      <c r="CO5" s="41">
        <v>0</v>
      </c>
      <c r="CP5" s="41">
        <v>0</v>
      </c>
      <c r="CQ5" s="41">
        <v>0</v>
      </c>
      <c r="CR5" s="41">
        <v>0</v>
      </c>
      <c r="CS5" s="41">
        <v>0</v>
      </c>
      <c r="CT5" s="41" t="e">
        <f>AND('RC expenses'!B1,"AAAAAHT/fWE=")</f>
        <v>#VALUE!</v>
      </c>
      <c r="CU5" s="41" t="e">
        <f>AND('RC expenses'!C1,"AAAAAHT/fWI=")</f>
        <v>#VALUE!</v>
      </c>
      <c r="CV5" s="41" t="e">
        <f>AND('RC expenses'!D1,"AAAAAHT/fWM=")</f>
        <v>#VALUE!</v>
      </c>
      <c r="CW5" s="41" t="e">
        <f>AND('RC expenses'!E1,"AAAAAHT/fWQ=")</f>
        <v>#VALUE!</v>
      </c>
      <c r="CX5" s="41" t="e">
        <f>AND('RC expenses'!F1,"AAAAAHT/fWU=")</f>
        <v>#VALUE!</v>
      </c>
      <c r="CY5" s="41" t="e">
        <f>AND('RC expenses'!G1,"AAAAAHT/fWY=")</f>
        <v>#VALUE!</v>
      </c>
      <c r="CZ5" s="41" t="e">
        <f>AND('RC expenses'!H1,"AAAAAHT/fWc=")</f>
        <v>#VALUE!</v>
      </c>
      <c r="DA5" s="41">
        <v>0</v>
      </c>
      <c r="DB5" s="41" t="e">
        <f>AND('RC expenses'!A2,"AAAAAHT/fWk=")</f>
        <v>#VALUE!</v>
      </c>
      <c r="DC5" s="41" t="e">
        <f>AND('RC expenses'!B2,"AAAAAHT/fWo=")</f>
        <v>#VALUE!</v>
      </c>
      <c r="DD5" s="41" t="e">
        <f>AND('RC expenses'!C2,"AAAAAHT/fWs=")</f>
        <v>#VALUE!</v>
      </c>
      <c r="DE5" s="41" t="e">
        <f>AND('RC expenses'!D2,"AAAAAHT/fWw=")</f>
        <v>#VALUE!</v>
      </c>
      <c r="DF5" s="41" t="e">
        <f>AND('RC expenses'!E2,"AAAAAHT/fW0=")</f>
        <v>#VALUE!</v>
      </c>
      <c r="DG5" s="41" t="e">
        <f>AND('RC expenses'!F2,"AAAAAHT/fW4=")</f>
        <v>#VALUE!</v>
      </c>
      <c r="DH5" s="41" t="e">
        <f>AND('RC expenses'!G2,"AAAAAHT/fW8=")</f>
        <v>#VALUE!</v>
      </c>
      <c r="DI5" s="41" t="e">
        <f>AND('RC expenses'!H2,"AAAAAHT/fXA=")</f>
        <v>#VALUE!</v>
      </c>
      <c r="DJ5" s="41">
        <v>0</v>
      </c>
      <c r="DK5" s="41" t="e">
        <f>AND('RC expenses'!A3,"AAAAAHT/fXI=")</f>
        <v>#VALUE!</v>
      </c>
      <c r="DL5" s="41" t="e">
        <f>AND('RC expenses'!B3,"AAAAAHT/fXM=")</f>
        <v>#VALUE!</v>
      </c>
      <c r="DM5" s="41" t="e">
        <f>AND('RC expenses'!C3,"AAAAAHT/fXQ=")</f>
        <v>#VALUE!</v>
      </c>
      <c r="DN5" s="41" t="e">
        <f>AND('RC expenses'!D3,"AAAAAHT/fXU=")</f>
        <v>#VALUE!</v>
      </c>
      <c r="DO5" s="41" t="e">
        <f>AND('RC expenses'!E3,"AAAAAHT/fXY=")</f>
        <v>#VALUE!</v>
      </c>
      <c r="DP5" s="41" t="e">
        <f>AND('RC expenses'!F3,"AAAAAHT/fXc=")</f>
        <v>#VALUE!</v>
      </c>
      <c r="DQ5" s="41" t="e">
        <f>AND('RC expenses'!G3,"AAAAAHT/fXg=")</f>
        <v>#VALUE!</v>
      </c>
      <c r="DR5" s="41" t="e">
        <f>AND('RC expenses'!H3,"AAAAAHT/fXk=")</f>
        <v>#VALUE!</v>
      </c>
      <c r="DS5" s="41">
        <v>0</v>
      </c>
      <c r="DT5" s="41" t="e">
        <f>AND('RC expenses'!A4,"AAAAAHT/fXs=")</f>
        <v>#VALUE!</v>
      </c>
      <c r="DU5" s="41" t="e">
        <f>AND('RC expenses'!B4,"AAAAAHT/fXw=")</f>
        <v>#VALUE!</v>
      </c>
      <c r="DV5" s="41" t="e">
        <f>AND('RC expenses'!C4,"AAAAAHT/fX0=")</f>
        <v>#VALUE!</v>
      </c>
      <c r="DW5" s="41" t="e">
        <f>AND('RC expenses'!D4,"AAAAAHT/fX4=")</f>
        <v>#VALUE!</v>
      </c>
      <c r="DX5" s="41" t="e">
        <f>AND('RC expenses'!E4,"AAAAAHT/fX8=")</f>
        <v>#VALUE!</v>
      </c>
      <c r="DY5" s="41" t="e">
        <f>AND('RC expenses'!F4,"AAAAAHT/fYA=")</f>
        <v>#VALUE!</v>
      </c>
      <c r="DZ5" s="41" t="e">
        <f>AND('RC expenses'!G4,"AAAAAHT/fYE=")</f>
        <v>#VALUE!</v>
      </c>
      <c r="EA5" s="41" t="e">
        <f>AND('RC expenses'!H4,"AAAAAHT/fYI=")</f>
        <v>#VALUE!</v>
      </c>
      <c r="EB5" s="41">
        <v>0</v>
      </c>
      <c r="EC5" s="41" t="e">
        <f>AND('RC expenses'!A5,"AAAAAHT/fYQ=")</f>
        <v>#VALUE!</v>
      </c>
      <c r="ED5" s="41" t="e">
        <f>AND('RC expenses'!B5,"AAAAAHT/fYU=")</f>
        <v>#VALUE!</v>
      </c>
      <c r="EE5" s="41" t="e">
        <f>AND('RC expenses'!C5,"AAAAAHT/fYY=")</f>
        <v>#VALUE!</v>
      </c>
      <c r="EF5" s="41" t="e">
        <f>AND('RC expenses'!D5,"AAAAAHT/fYc=")</f>
        <v>#VALUE!</v>
      </c>
      <c r="EG5" s="41" t="e">
        <f>AND('RC expenses'!E5,"AAAAAHT/fYg=")</f>
        <v>#VALUE!</v>
      </c>
      <c r="EH5" s="41" t="e">
        <f>AND('RC expenses'!F5,"AAAAAHT/fYk=")</f>
        <v>#VALUE!</v>
      </c>
      <c r="EI5" s="41" t="e">
        <f>AND('RC expenses'!G5,"AAAAAHT/fYo=")</f>
        <v>#VALUE!</v>
      </c>
      <c r="EJ5" s="41" t="e">
        <f>AND('RC expenses'!H5,"AAAAAHT/fYs=")</f>
        <v>#VALUE!</v>
      </c>
      <c r="EK5" s="41">
        <v>0</v>
      </c>
      <c r="EL5" s="41" t="e">
        <f>AND('RC expenses'!A6,"AAAAAHT/fY0=")</f>
        <v>#VALUE!</v>
      </c>
      <c r="EM5" s="41" t="e">
        <f>AND('RC expenses'!B6,"AAAAAHT/fY4=")</f>
        <v>#VALUE!</v>
      </c>
      <c r="EN5" s="41" t="e">
        <f>AND('RC expenses'!C6,"AAAAAHT/fY8=")</f>
        <v>#VALUE!</v>
      </c>
      <c r="EO5" s="41" t="e">
        <f>AND('RC expenses'!D6,"AAAAAHT/fZA=")</f>
        <v>#VALUE!</v>
      </c>
      <c r="EP5" s="41" t="e">
        <f>AND('RC expenses'!E6,"AAAAAHT/fZE=")</f>
        <v>#VALUE!</v>
      </c>
      <c r="EQ5" s="41" t="e">
        <f>AND('RC expenses'!F6,"AAAAAHT/fZI=")</f>
        <v>#VALUE!</v>
      </c>
      <c r="ER5" s="41" t="e">
        <f>AND('RC expenses'!G6,"AAAAAHT/fZM=")</f>
        <v>#VALUE!</v>
      </c>
      <c r="ES5" s="41" t="e">
        <f>AND('RC expenses'!H6,"AAAAAHT/fZQ=")</f>
        <v>#VALUE!</v>
      </c>
      <c r="ET5" s="41">
        <v>0</v>
      </c>
      <c r="EU5" s="41" t="e">
        <f>AND('RC expenses'!A7,"AAAAAHT/fZY=")</f>
        <v>#VALUE!</v>
      </c>
      <c r="EV5" s="41" t="e">
        <f>AND('RC expenses'!B7,"AAAAAHT/fZc=")</f>
        <v>#VALUE!</v>
      </c>
      <c r="EW5" s="41" t="e">
        <f>AND('RC expenses'!C7,"AAAAAHT/fZg=")</f>
        <v>#VALUE!</v>
      </c>
      <c r="EX5" s="41" t="e">
        <f>AND('RC expenses'!D7,"AAAAAHT/fZk=")</f>
        <v>#VALUE!</v>
      </c>
      <c r="EY5" s="41" t="e">
        <f>AND('RC expenses'!E7,"AAAAAHT/fZo=")</f>
        <v>#VALUE!</v>
      </c>
      <c r="EZ5" s="41" t="e">
        <f>AND('RC expenses'!F7,"AAAAAHT/fZs=")</f>
        <v>#VALUE!</v>
      </c>
      <c r="FA5" s="41" t="e">
        <f>AND('RC expenses'!G7,"AAAAAHT/fZw=")</f>
        <v>#VALUE!</v>
      </c>
      <c r="FB5" s="41" t="e">
        <f>AND('RC expenses'!H7,"AAAAAHT/fZ0=")</f>
        <v>#VALUE!</v>
      </c>
      <c r="FC5" s="41">
        <v>0</v>
      </c>
      <c r="FD5" s="41" t="e">
        <f>AND('RC expenses'!A8,"AAAAAHT/fZ8=")</f>
        <v>#VALUE!</v>
      </c>
      <c r="FE5" s="41" t="e">
        <f>AND('RC expenses'!B8,"AAAAAHT/faA=")</f>
        <v>#VALUE!</v>
      </c>
      <c r="FF5" s="41" t="e">
        <f>AND('RC expenses'!C8,"AAAAAHT/faE=")</f>
        <v>#VALUE!</v>
      </c>
      <c r="FG5" s="41" t="e">
        <f>AND('RC expenses'!D8,"AAAAAHT/faI=")</f>
        <v>#VALUE!</v>
      </c>
      <c r="FH5" s="41" t="e">
        <f>AND('RC expenses'!E8,"AAAAAHT/faM=")</f>
        <v>#VALUE!</v>
      </c>
      <c r="FI5" s="41" t="e">
        <f>AND('RC expenses'!F8,"AAAAAHT/faQ=")</f>
        <v>#VALUE!</v>
      </c>
      <c r="FJ5" s="41" t="e">
        <f>AND('RC expenses'!G8,"AAAAAHT/faU=")</f>
        <v>#VALUE!</v>
      </c>
      <c r="FK5" s="41" t="e">
        <f>AND('RC expenses'!H8,"AAAAAHT/faY=")</f>
        <v>#VALUE!</v>
      </c>
      <c r="FL5" s="41">
        <v>0</v>
      </c>
      <c r="FM5" s="41" t="e">
        <f>AND('RC expenses'!A9,"AAAAAHT/fag=")</f>
        <v>#VALUE!</v>
      </c>
      <c r="FN5" s="41" t="e">
        <f>AND('RC expenses'!B9,"AAAAAHT/fak=")</f>
        <v>#VALUE!</v>
      </c>
      <c r="FO5" s="41" t="e">
        <f>AND('RC expenses'!C9,"AAAAAHT/fao=")</f>
        <v>#VALUE!</v>
      </c>
      <c r="FP5" s="41" t="e">
        <f>AND('RC expenses'!D9,"AAAAAHT/fas=")</f>
        <v>#VALUE!</v>
      </c>
      <c r="FQ5" s="41" t="e">
        <f>AND('RC expenses'!E9,"AAAAAHT/faw=")</f>
        <v>#VALUE!</v>
      </c>
      <c r="FR5" s="41" t="e">
        <f>AND('RC expenses'!F9,"AAAAAHT/fa0=")</f>
        <v>#VALUE!</v>
      </c>
      <c r="FS5" s="41" t="e">
        <f>AND('RC expenses'!G9,"AAAAAHT/fa4=")</f>
        <v>#VALUE!</v>
      </c>
      <c r="FT5" s="41" t="e">
        <f>AND('RC expenses'!H9,"AAAAAHT/fa8=")</f>
        <v>#VALUE!</v>
      </c>
      <c r="FU5" s="41">
        <v>0</v>
      </c>
      <c r="FV5" s="41" t="e">
        <f>AND('RC expenses'!A10,"AAAAAHT/fbE=")</f>
        <v>#VALUE!</v>
      </c>
      <c r="FW5" s="41" t="e">
        <f>AND('RC expenses'!B10,"AAAAAHT/fbI=")</f>
        <v>#VALUE!</v>
      </c>
      <c r="FX5" s="41" t="e">
        <f>AND('RC expenses'!C10,"AAAAAHT/fbM=")</f>
        <v>#VALUE!</v>
      </c>
      <c r="FY5" s="41" t="e">
        <f>AND('RC expenses'!D10,"AAAAAHT/fbQ=")</f>
        <v>#VALUE!</v>
      </c>
      <c r="FZ5" s="41" t="e">
        <f>AND('RC expenses'!E10,"AAAAAHT/fbU=")</f>
        <v>#VALUE!</v>
      </c>
      <c r="GA5" s="41" t="e">
        <f>AND('RC expenses'!F10,"AAAAAHT/fbY=")</f>
        <v>#VALUE!</v>
      </c>
      <c r="GB5" s="41" t="e">
        <f>AND('RC expenses'!G10,"AAAAAHT/fbc=")</f>
        <v>#VALUE!</v>
      </c>
      <c r="GC5" s="41" t="e">
        <f>AND('RC expenses'!H10,"AAAAAHT/fbg=")</f>
        <v>#VALUE!</v>
      </c>
      <c r="GD5" s="41">
        <v>0</v>
      </c>
      <c r="GE5" s="41" t="e">
        <f>AND('RC expenses'!A11,"AAAAAHT/fbo=")</f>
        <v>#VALUE!</v>
      </c>
      <c r="GF5" s="41" t="e">
        <f>AND('RC expenses'!B11,"AAAAAHT/fbs=")</f>
        <v>#VALUE!</v>
      </c>
      <c r="GG5" s="41" t="e">
        <f>AND('RC expenses'!C11,"AAAAAHT/fbw=")</f>
        <v>#VALUE!</v>
      </c>
      <c r="GH5" s="41" t="e">
        <f>AND('RC expenses'!D11,"AAAAAHT/fb0=")</f>
        <v>#VALUE!</v>
      </c>
      <c r="GI5" s="41" t="e">
        <f>AND('RC expenses'!E11,"AAAAAHT/fb4=")</f>
        <v>#VALUE!</v>
      </c>
      <c r="GJ5" s="41" t="e">
        <f>AND('RC expenses'!F11,"AAAAAHT/fb8=")</f>
        <v>#VALUE!</v>
      </c>
      <c r="GK5" s="41" t="e">
        <f>AND('RC expenses'!G11,"AAAAAHT/fcA=")</f>
        <v>#VALUE!</v>
      </c>
      <c r="GL5" s="41" t="e">
        <f>AND('RC expenses'!H11,"AAAAAHT/fcE=")</f>
        <v>#VALUE!</v>
      </c>
      <c r="GM5" s="41">
        <v>0</v>
      </c>
      <c r="GN5" s="41" t="e">
        <f>AND('RC expenses'!A12,"AAAAAHT/fcM=")</f>
        <v>#VALUE!</v>
      </c>
      <c r="GO5" s="41" t="e">
        <f>AND('RC expenses'!B12,"AAAAAHT/fcQ=")</f>
        <v>#VALUE!</v>
      </c>
      <c r="GP5" s="41" t="e">
        <f>AND('RC expenses'!C12,"AAAAAHT/fcU=")</f>
        <v>#VALUE!</v>
      </c>
      <c r="GQ5" s="41" t="e">
        <f>AND('RC expenses'!D12,"AAAAAHT/fcY=")</f>
        <v>#VALUE!</v>
      </c>
      <c r="GR5" s="41" t="e">
        <f>AND('RC expenses'!E12,"AAAAAHT/fcc=")</f>
        <v>#VALUE!</v>
      </c>
      <c r="GS5" s="41" t="e">
        <f>AND('RC expenses'!F12,"AAAAAHT/fcg=")</f>
        <v>#VALUE!</v>
      </c>
      <c r="GT5" s="41" t="e">
        <f>AND('RC expenses'!G12,"AAAAAHT/fck=")</f>
        <v>#VALUE!</v>
      </c>
      <c r="GU5" s="41" t="e">
        <f>AND('RC expenses'!H12,"AAAAAHT/fco=")</f>
        <v>#VALUE!</v>
      </c>
      <c r="GV5" s="41">
        <v>0</v>
      </c>
      <c r="GW5" s="41" t="e">
        <f>AND('RC expenses'!A13,"AAAAAHT/fcw=")</f>
        <v>#VALUE!</v>
      </c>
      <c r="GX5" s="41" t="e">
        <f>AND('RC expenses'!B13,"AAAAAHT/fc0=")</f>
        <v>#VALUE!</v>
      </c>
      <c r="GY5" s="41" t="e">
        <f>AND('RC expenses'!C13,"AAAAAHT/fc4=")</f>
        <v>#VALUE!</v>
      </c>
      <c r="GZ5" s="41" t="e">
        <f>AND('RC expenses'!D13,"AAAAAHT/fc8=")</f>
        <v>#VALUE!</v>
      </c>
      <c r="HA5" s="41" t="e">
        <f>AND('RC expenses'!E13,"AAAAAHT/fdA=")</f>
        <v>#VALUE!</v>
      </c>
      <c r="HB5" s="41" t="e">
        <f>AND('RC expenses'!F13,"AAAAAHT/fdE=")</f>
        <v>#VALUE!</v>
      </c>
      <c r="HC5" s="41" t="e">
        <f>AND('RC expenses'!G13,"AAAAAHT/fdI=")</f>
        <v>#VALUE!</v>
      </c>
      <c r="HD5" s="41" t="e">
        <f>AND('RC expenses'!H13,"AAAAAHT/fdM=")</f>
        <v>#VALUE!</v>
      </c>
      <c r="HE5" s="41">
        <v>0</v>
      </c>
      <c r="HF5" s="41" t="e">
        <f>AND('RC expenses'!A14,"AAAAAHT/fdU=")</f>
        <v>#VALUE!</v>
      </c>
      <c r="HG5" s="41" t="e">
        <f>AND('RC expenses'!B14,"AAAAAHT/fdY=")</f>
        <v>#VALUE!</v>
      </c>
      <c r="HH5" s="41" t="e">
        <f>AND('RC expenses'!C14,"AAAAAHT/fdc=")</f>
        <v>#VALUE!</v>
      </c>
      <c r="HI5" s="41" t="e">
        <f>AND('RC expenses'!D14,"AAAAAHT/fdg=")</f>
        <v>#VALUE!</v>
      </c>
      <c r="HJ5" s="41" t="e">
        <f>AND('RC expenses'!E14,"AAAAAHT/fdk=")</f>
        <v>#VALUE!</v>
      </c>
      <c r="HK5" s="41" t="e">
        <f>AND('RC expenses'!F14,"AAAAAHT/fdo=")</f>
        <v>#VALUE!</v>
      </c>
      <c r="HL5" s="41" t="e">
        <f>AND('RC expenses'!G14,"AAAAAHT/fds=")</f>
        <v>#VALUE!</v>
      </c>
      <c r="HM5" s="41" t="e">
        <f>AND('RC expenses'!H14,"AAAAAHT/fdw=")</f>
        <v>#VALUE!</v>
      </c>
      <c r="HN5" s="41">
        <v>0</v>
      </c>
      <c r="HO5" s="41" t="e">
        <f>AND('RC expenses'!A15,"AAAAAHT/fd4=")</f>
        <v>#VALUE!</v>
      </c>
      <c r="HP5" s="41" t="e">
        <f>AND('RC expenses'!B15,"AAAAAHT/fd8=")</f>
        <v>#VALUE!</v>
      </c>
      <c r="HQ5" s="41" t="e">
        <f>AND('RC expenses'!C15,"AAAAAHT/feA=")</f>
        <v>#VALUE!</v>
      </c>
      <c r="HR5" s="41" t="e">
        <f>AND('RC expenses'!D15,"AAAAAHT/feE=")</f>
        <v>#VALUE!</v>
      </c>
      <c r="HS5" s="41" t="e">
        <f>AND('RC expenses'!E15,"AAAAAHT/feI=")</f>
        <v>#VALUE!</v>
      </c>
      <c r="HT5" s="41" t="e">
        <f>AND('RC expenses'!F15,"AAAAAHT/feM=")</f>
        <v>#VALUE!</v>
      </c>
      <c r="HU5" s="41" t="e">
        <f>AND('RC expenses'!G15,"AAAAAHT/feQ=")</f>
        <v>#VALUE!</v>
      </c>
      <c r="HV5" s="41" t="e">
        <f>AND('RC expenses'!H15,"AAAAAHT/feU=")</f>
        <v>#VALUE!</v>
      </c>
      <c r="HW5" s="41">
        <v>0</v>
      </c>
      <c r="HX5" s="41" t="e">
        <f>AND('RC expenses'!A16,"AAAAAHT/fec=")</f>
        <v>#VALUE!</v>
      </c>
      <c r="HY5" s="41" t="e">
        <f>AND('RC expenses'!B16,"AAAAAHT/feg=")</f>
        <v>#VALUE!</v>
      </c>
      <c r="HZ5" s="41" t="e">
        <f>AND('RC expenses'!C16,"AAAAAHT/fek=")</f>
        <v>#VALUE!</v>
      </c>
      <c r="IA5" s="41" t="e">
        <f>AND('RC expenses'!D16,"AAAAAHT/feo=")</f>
        <v>#VALUE!</v>
      </c>
      <c r="IB5" s="41" t="e">
        <f>AND('RC expenses'!E16,"AAAAAHT/fes=")</f>
        <v>#VALUE!</v>
      </c>
      <c r="IC5" s="41" t="e">
        <f>AND('RC expenses'!F16,"AAAAAHT/few=")</f>
        <v>#VALUE!</v>
      </c>
      <c r="ID5" s="41" t="e">
        <f>AND('RC expenses'!G16,"AAAAAHT/fe0=")</f>
        <v>#VALUE!</v>
      </c>
      <c r="IE5" s="41" t="e">
        <f>AND('RC expenses'!H16,"AAAAAHT/fe4=")</f>
        <v>#VALUE!</v>
      </c>
      <c r="IF5" s="41">
        <v>0</v>
      </c>
      <c r="IG5" s="41" t="e">
        <f>AND('RC expenses'!A17,"AAAAAHT/ffA=")</f>
        <v>#VALUE!</v>
      </c>
      <c r="IH5" s="41" t="e">
        <f>AND('RC expenses'!B17,"AAAAAHT/ffE=")</f>
        <v>#VALUE!</v>
      </c>
      <c r="II5" s="41" t="e">
        <f>AND('RC expenses'!C17,"AAAAAHT/ffI=")</f>
        <v>#VALUE!</v>
      </c>
      <c r="IJ5" s="41" t="e">
        <f>AND('RC expenses'!D17,"AAAAAHT/ffM=")</f>
        <v>#VALUE!</v>
      </c>
      <c r="IK5" s="41" t="e">
        <f>AND('RC expenses'!E17,"AAAAAHT/ffQ=")</f>
        <v>#VALUE!</v>
      </c>
      <c r="IL5" s="41" t="e">
        <f>AND('RC expenses'!F17,"AAAAAHT/ffU=")</f>
        <v>#VALUE!</v>
      </c>
      <c r="IM5" s="41" t="e">
        <f>AND('RC expenses'!G17,"AAAAAHT/ffY=")</f>
        <v>#VALUE!</v>
      </c>
      <c r="IN5" s="41" t="e">
        <f>AND('RC expenses'!H17,"AAAAAHT/ffc=")</f>
        <v>#VALUE!</v>
      </c>
      <c r="IO5" s="41">
        <v>0</v>
      </c>
      <c r="IP5" s="41" t="e">
        <f>AND('RC expenses'!A18,"AAAAAHT/ffk=")</f>
        <v>#VALUE!</v>
      </c>
      <c r="IQ5" s="41" t="e">
        <f>AND('RC expenses'!B18,"AAAAAHT/ffo=")</f>
        <v>#VALUE!</v>
      </c>
      <c r="IR5" s="41" t="e">
        <f>AND('RC expenses'!C18,"AAAAAHT/ffs=")</f>
        <v>#VALUE!</v>
      </c>
      <c r="IS5" s="41" t="e">
        <f>AND('RC expenses'!D18,"AAAAAHT/ffw=")</f>
        <v>#VALUE!</v>
      </c>
      <c r="IT5" s="41" t="e">
        <f>AND('RC expenses'!E18,"AAAAAHT/ff0=")</f>
        <v>#VALUE!</v>
      </c>
      <c r="IU5" s="41" t="e">
        <f>AND('RC expenses'!F18,"AAAAAHT/ff4=")</f>
        <v>#VALUE!</v>
      </c>
      <c r="IV5" s="41" t="e">
        <f>AND('RC expenses'!G18,"AAAAAHT/ff8=")</f>
        <v>#VALUE!</v>
      </c>
    </row>
    <row r="6" spans="1:256" x14ac:dyDescent="0.2">
      <c r="A6" s="41" t="e">
        <f>AND('RC expenses'!H18,"AAAAAFf/fQA=")</f>
        <v>#VALUE!</v>
      </c>
      <c r="B6" s="41" t="e">
        <f>IF('RC expenses'!#REF!,"AAAAAFf/fQE=",0)</f>
        <v>#REF!</v>
      </c>
      <c r="C6" s="41" t="e">
        <f>AND('RC expenses'!#REF!,"AAAAAFf/fQI=")</f>
        <v>#REF!</v>
      </c>
      <c r="D6" s="41" t="e">
        <f>AND('RC expenses'!#REF!,"AAAAAFf/fQM=")</f>
        <v>#REF!</v>
      </c>
      <c r="E6" s="41" t="e">
        <f>AND('RC expenses'!#REF!,"AAAAAFf/fQQ=")</f>
        <v>#REF!</v>
      </c>
      <c r="F6" s="41" t="e">
        <f>AND('RC expenses'!#REF!,"AAAAAFf/fQU=")</f>
        <v>#REF!</v>
      </c>
      <c r="G6" s="41" t="e">
        <f>AND('RC expenses'!#REF!,"AAAAAFf/fQY=")</f>
        <v>#REF!</v>
      </c>
      <c r="H6" s="41" t="e">
        <f>AND('RC expenses'!#REF!,"AAAAAFf/fQc=")</f>
        <v>#REF!</v>
      </c>
      <c r="I6" s="41" t="e">
        <f>AND('RC expenses'!#REF!,"AAAAAFf/fQg=")</f>
        <v>#REF!</v>
      </c>
      <c r="J6" s="41" t="e">
        <f>AND('RC expenses'!#REF!,"AAAAAFf/fQk=")</f>
        <v>#REF!</v>
      </c>
      <c r="K6" s="41">
        <v>0</v>
      </c>
      <c r="L6" s="41">
        <v>0</v>
      </c>
      <c r="M6" s="41">
        <v>0</v>
      </c>
      <c r="N6" s="41">
        <v>0</v>
      </c>
      <c r="O6" s="41">
        <v>0</v>
      </c>
      <c r="P6" s="41" t="s">
        <v>123</v>
      </c>
      <c r="Q6" s="41" t="s">
        <v>129</v>
      </c>
      <c r="R6" s="41" t="s">
        <v>130</v>
      </c>
      <c r="S6" s="41" t="s">
        <v>123</v>
      </c>
      <c r="T6" s="41">
        <v>0</v>
      </c>
      <c r="U6" s="41" t="s">
        <v>123</v>
      </c>
      <c r="V6" s="41" t="s">
        <v>123</v>
      </c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29"/>
      <c r="DO6" s="29"/>
      <c r="DP6" s="29"/>
      <c r="DQ6" s="29"/>
      <c r="DR6" s="29"/>
      <c r="DS6" s="29"/>
      <c r="DT6" s="29"/>
      <c r="DU6" s="29"/>
      <c r="DV6" s="29"/>
      <c r="DW6" s="29"/>
      <c r="DX6" s="29"/>
      <c r="DY6" s="29"/>
      <c r="DZ6" s="29"/>
      <c r="EA6" s="29"/>
      <c r="EB6" s="29"/>
      <c r="EC6" s="29"/>
      <c r="ED6" s="29"/>
      <c r="EE6" s="29"/>
      <c r="EF6" s="29"/>
      <c r="EG6" s="29"/>
      <c r="EH6" s="29"/>
      <c r="EI6" s="29"/>
      <c r="EJ6" s="29"/>
      <c r="EK6" s="29"/>
      <c r="EL6" s="29"/>
      <c r="EM6" s="29"/>
      <c r="EN6" s="29"/>
      <c r="EO6" s="29"/>
      <c r="EP6" s="29"/>
      <c r="EQ6" s="29"/>
      <c r="ER6" s="29"/>
      <c r="ES6" s="29"/>
      <c r="ET6" s="29"/>
      <c r="EU6" s="29"/>
      <c r="EV6" s="29"/>
      <c r="EW6" s="29"/>
      <c r="EX6" s="29"/>
      <c r="EY6" s="29"/>
      <c r="EZ6" s="29"/>
      <c r="FA6" s="29"/>
      <c r="FB6" s="29"/>
      <c r="FC6" s="29"/>
      <c r="FD6" s="29"/>
      <c r="FE6" s="29"/>
      <c r="FF6" s="29"/>
      <c r="FG6" s="29"/>
      <c r="FH6" s="29"/>
      <c r="FI6" s="29"/>
      <c r="FJ6" s="29"/>
      <c r="FK6" s="29"/>
      <c r="FL6" s="29"/>
      <c r="FM6" s="29"/>
      <c r="FN6" s="29"/>
      <c r="FO6" s="29"/>
      <c r="FP6" s="29"/>
      <c r="FQ6" s="29"/>
      <c r="FR6" s="29"/>
      <c r="FS6" s="29"/>
      <c r="FT6" s="29"/>
      <c r="FU6" s="29"/>
      <c r="FV6" s="29"/>
      <c r="FW6" s="29"/>
      <c r="FX6" s="29"/>
      <c r="FY6" s="29"/>
      <c r="FZ6" s="29"/>
      <c r="GA6" s="29"/>
      <c r="GB6" s="29"/>
      <c r="GC6" s="29"/>
      <c r="GD6" s="29"/>
      <c r="GE6" s="29"/>
      <c r="GF6" s="29"/>
      <c r="GG6" s="29"/>
      <c r="GH6" s="29"/>
      <c r="GI6" s="29"/>
      <c r="GJ6" s="29"/>
      <c r="GK6" s="29"/>
      <c r="GL6" s="29"/>
      <c r="GM6" s="29"/>
      <c r="GN6" s="29"/>
      <c r="GO6" s="29"/>
      <c r="GP6" s="29"/>
      <c r="GQ6" s="29"/>
      <c r="GR6" s="29"/>
      <c r="GS6" s="29"/>
      <c r="GT6" s="29"/>
      <c r="GU6" s="29"/>
      <c r="GV6" s="29"/>
      <c r="GW6" s="29"/>
      <c r="GX6" s="29"/>
      <c r="GY6" s="29"/>
      <c r="GZ6" s="29"/>
      <c r="HA6" s="29"/>
      <c r="HB6" s="29"/>
      <c r="HC6" s="29"/>
      <c r="HD6" s="29"/>
      <c r="HE6" s="29"/>
      <c r="HF6" s="29"/>
      <c r="HG6" s="29"/>
      <c r="HH6" s="29"/>
      <c r="HI6" s="29"/>
      <c r="HJ6" s="29"/>
      <c r="HK6" s="29"/>
      <c r="HL6" s="29"/>
      <c r="HM6" s="29"/>
      <c r="HN6" s="29"/>
      <c r="HO6" s="29"/>
      <c r="HP6" s="29"/>
      <c r="HQ6" s="29"/>
      <c r="HR6" s="29"/>
      <c r="HS6" s="29"/>
      <c r="HT6" s="29"/>
      <c r="HU6" s="29"/>
      <c r="HV6" s="29"/>
      <c r="HW6" s="29"/>
      <c r="HX6" s="29"/>
      <c r="HY6" s="29"/>
      <c r="HZ6" s="29"/>
      <c r="IA6" s="29"/>
      <c r="IB6" s="29"/>
      <c r="IC6" s="29"/>
      <c r="ID6" s="29"/>
      <c r="IE6" s="29"/>
      <c r="IF6" s="29"/>
      <c r="IG6" s="29"/>
      <c r="IH6" s="29"/>
      <c r="II6" s="29"/>
      <c r="IJ6" s="29"/>
      <c r="IK6" s="29"/>
      <c r="IL6" s="29"/>
      <c r="IM6" s="29"/>
      <c r="IN6" s="29"/>
      <c r="IO6" s="29"/>
      <c r="IP6" s="29"/>
      <c r="IQ6" s="29"/>
      <c r="IR6" s="29"/>
      <c r="IS6" s="29"/>
      <c r="IT6" s="29"/>
      <c r="IU6" s="29"/>
      <c r="IV6" s="29"/>
    </row>
    <row r="7" spans="1:256" x14ac:dyDescent="0.2">
      <c r="A7" s="41" t="e">
        <f>AND(ROARS!G2,"AAAAAGf//AA=")</f>
        <v>#VALUE!</v>
      </c>
      <c r="B7" s="41" t="e">
        <f>AND(ROARS!H2,"AAAAAGf//AE=")</f>
        <v>#VALUE!</v>
      </c>
      <c r="C7" s="41" t="e">
        <f>AND(ROARS!#REF!,"AAAAAGf//AI=")</f>
        <v>#REF!</v>
      </c>
      <c r="D7" s="41" t="e">
        <f>AND(ROARS!#REF!,"AAAAAGf//AM=")</f>
        <v>#REF!</v>
      </c>
      <c r="E7" s="41" t="e">
        <f>AND(ROARS!#REF!,"AAAAAGf//AQ=")</f>
        <v>#REF!</v>
      </c>
      <c r="F7" s="41" t="e">
        <f>AND(ROARS!#REF!,"AAAAAGf//AU=")</f>
        <v>#REF!</v>
      </c>
      <c r="G7" s="41" t="e">
        <f>AND(ROARS!G3,"AAAAAGf//AY=")</f>
        <v>#VALUE!</v>
      </c>
      <c r="H7" s="41" t="e">
        <f>AND(ROARS!H3,"AAAAAGf//Ac=")</f>
        <v>#VALUE!</v>
      </c>
      <c r="I7" s="41" t="e">
        <f>AND(ROARS!#REF!,"AAAAAGf//Ag=")</f>
        <v>#REF!</v>
      </c>
      <c r="J7" s="41" t="e">
        <f>AND(ROARS!#REF!,"AAAAAGf//Ak=")</f>
        <v>#REF!</v>
      </c>
      <c r="K7" s="41" t="e">
        <f>AND(ROARS!#REF!,"AAAAAGf//Ao=")</f>
        <v>#REF!</v>
      </c>
      <c r="L7" s="41" t="e">
        <f>AND(ROARS!#REF!,"AAAAAGf//As=")</f>
        <v>#REF!</v>
      </c>
      <c r="M7" s="41" t="e">
        <f>AND(ROARS!G4,"AAAAAGf//Aw=")</f>
        <v>#VALUE!</v>
      </c>
      <c r="N7" s="41" t="e">
        <f>AND(ROARS!H4,"AAAAAGf//A0=")</f>
        <v>#VALUE!</v>
      </c>
      <c r="O7" s="41" t="e">
        <f>AND(ROARS!#REF!,"AAAAAGf//A4=")</f>
        <v>#REF!</v>
      </c>
      <c r="P7" s="41" t="e">
        <f>AND(ROARS!#REF!,"AAAAAGf//A8=")</f>
        <v>#REF!</v>
      </c>
      <c r="Q7" s="41" t="e">
        <f>AND(ROARS!#REF!,"AAAAAGf//BA=")</f>
        <v>#REF!</v>
      </c>
      <c r="R7" s="41" t="e">
        <f>AND(ROARS!#REF!,"AAAAAGf//BE=")</f>
        <v>#REF!</v>
      </c>
      <c r="S7" s="41" t="e">
        <f>AND(ROARS!G5,"AAAAAGf//BI=")</f>
        <v>#VALUE!</v>
      </c>
      <c r="T7" s="41" t="e">
        <f>AND(ROARS!H5,"AAAAAGf//BM=")</f>
        <v>#VALUE!</v>
      </c>
      <c r="U7" s="41" t="e">
        <f>AND(ROARS!#REF!,"AAAAAGf//BQ=")</f>
        <v>#REF!</v>
      </c>
      <c r="V7" s="41" t="e">
        <f>AND(ROARS!#REF!,"AAAAAGf//BU=")</f>
        <v>#REF!</v>
      </c>
      <c r="W7" s="41" t="e">
        <f>AND(ROARS!#REF!,"AAAAAGf//BY=")</f>
        <v>#REF!</v>
      </c>
      <c r="X7" s="41" t="e">
        <f>AND(ROARS!#REF!,"AAAAAGf//Bc=")</f>
        <v>#REF!</v>
      </c>
      <c r="Y7" s="41" t="e">
        <f>AND(ROARS!G6,"AAAAAGf//Bg=")</f>
        <v>#VALUE!</v>
      </c>
      <c r="Z7" s="41" t="e">
        <f>AND(ROARS!H6,"AAAAAGf//Bk=")</f>
        <v>#VALUE!</v>
      </c>
      <c r="AA7" s="41" t="e">
        <f>AND(ROARS!#REF!,"AAAAAGf//Bo=")</f>
        <v>#REF!</v>
      </c>
      <c r="AB7" s="41" t="e">
        <f>AND(ROARS!#REF!,"AAAAAGf//Bs=")</f>
        <v>#REF!</v>
      </c>
      <c r="AC7" s="41" t="e">
        <f>AND(ROARS!#REF!,"AAAAAGf//Bw=")</f>
        <v>#REF!</v>
      </c>
      <c r="AD7" s="41" t="e">
        <f>AND(ROARS!#REF!,"AAAAAGf//B0=")</f>
        <v>#REF!</v>
      </c>
      <c r="AE7" s="41" t="e">
        <f>AND(ROARS!G7,"AAAAAGf//B4=")</f>
        <v>#VALUE!</v>
      </c>
      <c r="AF7" s="41" t="e">
        <f>AND(ROARS!H7,"AAAAAGf//B8=")</f>
        <v>#VALUE!</v>
      </c>
      <c r="AG7" s="41" t="e">
        <f>AND(ROARS!#REF!,"AAAAAGf//CA=")</f>
        <v>#REF!</v>
      </c>
      <c r="AH7" s="41" t="e">
        <f>AND(ROARS!#REF!,"AAAAAGf//CE=")</f>
        <v>#REF!</v>
      </c>
      <c r="AI7" s="41" t="e">
        <f>AND(ROARS!#REF!,"AAAAAGf//CI=")</f>
        <v>#REF!</v>
      </c>
      <c r="AJ7" s="41" t="e">
        <f>AND(ROARS!#REF!,"AAAAAGf//CM=")</f>
        <v>#REF!</v>
      </c>
      <c r="AK7" s="41" t="e">
        <f>AND(ROARS!G8,"AAAAAGf//CQ=")</f>
        <v>#VALUE!</v>
      </c>
      <c r="AL7" s="41" t="e">
        <f>AND(ROARS!H8,"AAAAAGf//CU=")</f>
        <v>#VALUE!</v>
      </c>
      <c r="AM7" s="41" t="e">
        <f>AND(ROARS!#REF!,"AAAAAGf//CY=")</f>
        <v>#REF!</v>
      </c>
      <c r="AN7" s="41" t="e">
        <f>AND(ROARS!#REF!,"AAAAAGf//Cc=")</f>
        <v>#REF!</v>
      </c>
      <c r="AO7" s="41" t="e">
        <f>AND(ROARS!#REF!,"AAAAAGf//Cg=")</f>
        <v>#REF!</v>
      </c>
      <c r="AP7" s="41" t="e">
        <f>AND(ROARS!#REF!,"AAAAAGf//Ck=")</f>
        <v>#REF!</v>
      </c>
      <c r="AQ7" s="41" t="e">
        <f>AND(ROARS!G9,"AAAAAGf//Co=")</f>
        <v>#VALUE!</v>
      </c>
      <c r="AR7" s="41" t="e">
        <f>AND(ROARS!H9,"AAAAAGf//Cs=")</f>
        <v>#VALUE!</v>
      </c>
      <c r="AS7" s="41" t="e">
        <f>AND(ROARS!#REF!,"AAAAAGf//Cw=")</f>
        <v>#REF!</v>
      </c>
      <c r="AT7" s="41" t="e">
        <f>AND(ROARS!#REF!,"AAAAAGf//C0=")</f>
        <v>#REF!</v>
      </c>
      <c r="AU7" s="41" t="e">
        <f>AND(ROARS!#REF!,"AAAAAGf//C4=")</f>
        <v>#REF!</v>
      </c>
      <c r="AV7" s="41" t="e">
        <f>AND(ROARS!#REF!,"AAAAAGf//C8=")</f>
        <v>#REF!</v>
      </c>
      <c r="AW7" s="41">
        <v>0</v>
      </c>
      <c r="AX7" s="41" t="e">
        <f>AND(ROARS!A10,"AAAAAGf//DE=")</f>
        <v>#VALUE!</v>
      </c>
      <c r="AY7" s="41" t="e">
        <f>AND(ROARS!B10,"AAAAAGf//DI=")</f>
        <v>#VALUE!</v>
      </c>
      <c r="AZ7" s="41" t="e">
        <f>AND(ROARS!C10,"AAAAAGf//DM=")</f>
        <v>#VALUE!</v>
      </c>
      <c r="BA7" s="41" t="e">
        <f>AND(ROARS!D10,"AAAAAGf//DQ=")</f>
        <v>#VALUE!</v>
      </c>
      <c r="BB7" s="41" t="e">
        <f>AND(ROARS!E10,"AAAAAGf//DU=")</f>
        <v>#VALUE!</v>
      </c>
      <c r="BC7" s="41" t="e">
        <f>AND(ROARS!F10,"AAAAAGf//DY=")</f>
        <v>#VALUE!</v>
      </c>
      <c r="BD7" s="58" t="e">
        <f>AND(ROARS!G10,"AAAAAGf//Dc=")</f>
        <v>#VALUE!</v>
      </c>
      <c r="BE7" s="41" t="e">
        <f>AND(ROARS!H10,"AAAAAGf//Dg=")</f>
        <v>#VALUE!</v>
      </c>
      <c r="BF7" s="41" t="e">
        <f>AND(ROARS!#REF!,"AAAAAGf//Dk=")</f>
        <v>#REF!</v>
      </c>
      <c r="BG7" s="41" t="e">
        <f>AND(ROARS!#REF!,"AAAAAGf//Do=")</f>
        <v>#REF!</v>
      </c>
      <c r="BH7" s="41" t="e">
        <f>AND(ROARS!#REF!,"AAAAAGf//Ds=")</f>
        <v>#REF!</v>
      </c>
      <c r="BI7" s="41" t="e">
        <f>AND(ROARS!#REF!,"AAAAAGf//Dw=")</f>
        <v>#REF!</v>
      </c>
      <c r="BJ7" s="41">
        <v>0</v>
      </c>
      <c r="BK7" s="41" t="e">
        <f>AND(ROARS!A11,"AAAAAGf//D4=")</f>
        <v>#VALUE!</v>
      </c>
      <c r="BL7" s="41" t="e">
        <f>AND(ROARS!B11,"AAAAAGf//D8=")</f>
        <v>#VALUE!</v>
      </c>
      <c r="BM7" s="41" t="e">
        <f>AND(ROARS!C11,"AAAAAGf//EA=")</f>
        <v>#VALUE!</v>
      </c>
      <c r="BN7" s="41" t="e">
        <f>AND(ROARS!D11,"AAAAAGf//EE=")</f>
        <v>#VALUE!</v>
      </c>
      <c r="BO7" s="41" t="e">
        <f>AND(ROARS!E11,"AAAAAGf//EI=")</f>
        <v>#VALUE!</v>
      </c>
      <c r="BP7" s="41" t="e">
        <f>AND(ROARS!F11,"AAAAAGf//EM=")</f>
        <v>#VALUE!</v>
      </c>
      <c r="BQ7" s="41" t="e">
        <f>AND(ROARS!G11,"AAAAAGf//EQ=")</f>
        <v>#VALUE!</v>
      </c>
      <c r="BR7" s="41" t="e">
        <f>AND(ROARS!H11,"AAAAAGf//EU=")</f>
        <v>#VALUE!</v>
      </c>
      <c r="BS7" s="41" t="e">
        <f>AND(ROARS!#REF!,"AAAAAGf//EY=")</f>
        <v>#REF!</v>
      </c>
      <c r="BT7" s="41" t="e">
        <f>AND(ROARS!#REF!,"AAAAAGf//Ec=")</f>
        <v>#REF!</v>
      </c>
      <c r="BU7" s="41" t="e">
        <f>AND(ROARS!#REF!,"AAAAAGf//Eg=")</f>
        <v>#REF!</v>
      </c>
      <c r="BV7" s="41" t="e">
        <f>AND(ROARS!#REF!,"AAAAAGf//Ek=")</f>
        <v>#REF!</v>
      </c>
      <c r="BW7" s="41">
        <v>0</v>
      </c>
      <c r="BX7" s="41" t="e">
        <f>AND(ROARS!A12,"AAAAAGf//Es=")</f>
        <v>#VALUE!</v>
      </c>
      <c r="BY7" s="41" t="e">
        <f>AND(ROARS!B12,"AAAAAGf//Ew=")</f>
        <v>#VALUE!</v>
      </c>
      <c r="BZ7" s="41" t="e">
        <f>AND(ROARS!C12,"AAAAAGf//E0=")</f>
        <v>#VALUE!</v>
      </c>
      <c r="CA7" s="41" t="e">
        <f>AND(ROARS!D12,"AAAAAGf//E4=")</f>
        <v>#VALUE!</v>
      </c>
      <c r="CB7" s="41" t="e">
        <f>AND(ROARS!E12,"AAAAAGf//E8=")</f>
        <v>#VALUE!</v>
      </c>
      <c r="CC7" s="41" t="e">
        <f>AND(ROARS!F12,"AAAAAGf//FA=")</f>
        <v>#VALUE!</v>
      </c>
      <c r="CD7" s="41" t="e">
        <f>AND(ROARS!G12,"AAAAAGf//FE=")</f>
        <v>#VALUE!</v>
      </c>
      <c r="CE7" s="41" t="e">
        <f>AND(ROARS!H12,"AAAAAGf//FI=")</f>
        <v>#VALUE!</v>
      </c>
      <c r="CF7" s="41" t="e">
        <f>AND(ROARS!#REF!,"AAAAAGf//FM=")</f>
        <v>#REF!</v>
      </c>
      <c r="CG7" s="41" t="e">
        <f>AND(ROARS!#REF!,"AAAAAGf//FQ=")</f>
        <v>#REF!</v>
      </c>
      <c r="CH7" s="41" t="e">
        <f>AND(ROARS!#REF!,"AAAAAGf//FU=")</f>
        <v>#REF!</v>
      </c>
      <c r="CI7" s="41" t="e">
        <f>AND(ROARS!#REF!,"AAAAAGf//FY=")</f>
        <v>#REF!</v>
      </c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  <c r="CZ7" s="29"/>
      <c r="DA7" s="29"/>
      <c r="DB7" s="29"/>
      <c r="DC7" s="29"/>
      <c r="DD7" s="29"/>
      <c r="DE7" s="29"/>
      <c r="DF7" s="29"/>
      <c r="DG7" s="29"/>
      <c r="DH7" s="29"/>
      <c r="DI7" s="29"/>
      <c r="DJ7" s="29"/>
      <c r="DK7" s="29"/>
      <c r="DL7" s="29"/>
      <c r="DM7" s="29"/>
      <c r="DN7" s="29"/>
      <c r="DO7" s="29"/>
      <c r="DP7" s="29"/>
      <c r="DQ7" s="29"/>
      <c r="DR7" s="29"/>
      <c r="DS7" s="29"/>
      <c r="DT7" s="29"/>
      <c r="DU7" s="29"/>
      <c r="DV7" s="29"/>
      <c r="DW7" s="29"/>
      <c r="DX7" s="29"/>
      <c r="DY7" s="29"/>
      <c r="DZ7" s="29"/>
      <c r="EA7" s="29"/>
      <c r="EB7" s="29"/>
      <c r="EC7" s="29"/>
      <c r="ED7" s="29"/>
      <c r="EE7" s="29"/>
      <c r="EF7" s="29"/>
      <c r="EG7" s="29"/>
      <c r="EH7" s="29"/>
      <c r="EI7" s="29"/>
      <c r="EJ7" s="29"/>
      <c r="EK7" s="29"/>
      <c r="EL7" s="29"/>
      <c r="EM7" s="29"/>
      <c r="EN7" s="29"/>
      <c r="EO7" s="29"/>
      <c r="EP7" s="29"/>
      <c r="EQ7" s="29"/>
      <c r="ER7" s="29"/>
      <c r="ES7" s="29"/>
      <c r="ET7" s="29"/>
      <c r="EU7" s="29"/>
      <c r="EV7" s="29"/>
      <c r="EW7" s="29"/>
      <c r="EX7" s="29"/>
      <c r="EY7" s="29"/>
      <c r="EZ7" s="29"/>
      <c r="FA7" s="29"/>
      <c r="FB7" s="29"/>
      <c r="FC7" s="29"/>
      <c r="FD7" s="29"/>
      <c r="FE7" s="29"/>
      <c r="FF7" s="29"/>
      <c r="FG7" s="29"/>
      <c r="FH7" s="29"/>
      <c r="FI7" s="29"/>
      <c r="FJ7" s="29"/>
      <c r="FK7" s="29"/>
      <c r="FL7" s="29"/>
      <c r="FM7" s="29"/>
      <c r="FN7" s="29"/>
      <c r="FO7" s="29"/>
      <c r="FP7" s="29"/>
      <c r="FQ7" s="29"/>
      <c r="FR7" s="29"/>
      <c r="FS7" s="29"/>
      <c r="FT7" s="29"/>
      <c r="FU7" s="29"/>
      <c r="FV7" s="29"/>
      <c r="FW7" s="29"/>
      <c r="FX7" s="29"/>
      <c r="FY7" s="29"/>
      <c r="FZ7" s="29"/>
      <c r="GA7" s="29"/>
      <c r="GB7" s="29"/>
      <c r="GC7" s="29"/>
      <c r="GD7" s="29"/>
      <c r="GE7" s="29"/>
      <c r="GF7" s="29"/>
      <c r="GG7" s="29"/>
      <c r="GH7" s="29"/>
      <c r="GI7" s="29"/>
      <c r="GJ7" s="29"/>
      <c r="GK7" s="29"/>
      <c r="GL7" s="29"/>
      <c r="GM7" s="29"/>
      <c r="GN7" s="29"/>
      <c r="GO7" s="29"/>
      <c r="GP7" s="29"/>
      <c r="GQ7" s="29"/>
      <c r="GR7" s="29"/>
      <c r="GS7" s="29"/>
      <c r="GT7" s="29"/>
      <c r="GU7" s="29"/>
      <c r="GV7" s="29"/>
      <c r="GW7" s="29"/>
      <c r="GX7" s="29"/>
      <c r="GY7" s="29"/>
      <c r="GZ7" s="29"/>
      <c r="HA7" s="29"/>
      <c r="HB7" s="29"/>
      <c r="HC7" s="29"/>
      <c r="HD7" s="29"/>
      <c r="HE7" s="29"/>
      <c r="HF7" s="29"/>
      <c r="HG7" s="29"/>
      <c r="HH7" s="29"/>
      <c r="HI7" s="29"/>
      <c r="HJ7" s="29"/>
      <c r="HK7" s="29"/>
      <c r="HL7" s="29"/>
      <c r="HM7" s="29"/>
      <c r="HN7" s="29"/>
      <c r="HO7" s="29"/>
      <c r="HP7" s="29"/>
      <c r="HQ7" s="29"/>
      <c r="HR7" s="29"/>
      <c r="HS7" s="29"/>
      <c r="HT7" s="29"/>
      <c r="HU7" s="29"/>
      <c r="HV7" s="29"/>
      <c r="HW7" s="29"/>
      <c r="HX7" s="29"/>
      <c r="HY7" s="29"/>
      <c r="HZ7" s="29"/>
      <c r="IA7" s="29"/>
      <c r="IB7" s="29"/>
      <c r="IC7" s="29"/>
      <c r="ID7" s="29"/>
      <c r="IE7" s="29"/>
      <c r="IF7" s="29"/>
      <c r="IG7" s="29"/>
      <c r="IH7" s="29"/>
      <c r="II7" s="29"/>
      <c r="IJ7" s="29"/>
      <c r="IK7" s="29"/>
      <c r="IL7" s="29"/>
      <c r="IM7" s="29"/>
      <c r="IN7" s="29"/>
      <c r="IO7" s="29"/>
      <c r="IP7" s="29"/>
      <c r="IQ7" s="29"/>
      <c r="IR7" s="29"/>
      <c r="IS7" s="29"/>
      <c r="IT7" s="29"/>
      <c r="IU7" s="29"/>
      <c r="IV7" s="29"/>
    </row>
    <row r="8" spans="1:256" ht="15" customHeight="1" x14ac:dyDescent="0.2">
      <c r="A8" s="41" t="e">
        <f>AND('RC expenses'!A19,"AAAAAG83xwA=")</f>
        <v>#VALUE!</v>
      </c>
      <c r="B8" s="41" t="e">
        <f>AND('RC expenses'!B19,"AAAAAG83xwE=")</f>
        <v>#VALUE!</v>
      </c>
      <c r="C8" s="41" t="e">
        <f>AND('RC expenses'!C19,"AAAAAG83xwI=")</f>
        <v>#VALUE!</v>
      </c>
      <c r="D8" s="41" t="e">
        <f>AND('RC expenses'!#REF!,"AAAAAG83xwM=")</f>
        <v>#REF!</v>
      </c>
      <c r="E8" s="41" t="e">
        <f>AND('RC expenses'!A20,"AAAAAG83xwQ=")</f>
        <v>#VALUE!</v>
      </c>
      <c r="F8" s="41" t="e">
        <f>AND('RC expenses'!B20,"AAAAAG83xwU=")</f>
        <v>#VALUE!</v>
      </c>
      <c r="G8" s="41" t="e">
        <f>AND('RC expenses'!C20,"AAAAAG83xwY=")</f>
        <v>#VALUE!</v>
      </c>
      <c r="H8" s="41" t="e">
        <f>AND('RC expenses'!D19,"AAAAAG83xwc=")</f>
        <v>#VALUE!</v>
      </c>
      <c r="I8" s="41" t="e">
        <f>AND('RC expenses'!#REF!,"AAAAAG83xwg=")</f>
        <v>#REF!</v>
      </c>
      <c r="J8" s="41" t="e">
        <f>AND('RC expenses'!#REF!,"AAAAAG83xwk=")</f>
        <v>#REF!</v>
      </c>
      <c r="K8" s="41" t="e">
        <f>AND('RC expenses'!#REF!,"AAAAAG83xwo=")</f>
        <v>#REF!</v>
      </c>
      <c r="L8" s="41" t="e">
        <f>AND('RC expenses'!#REF!,"AAAAAG83xws=")</f>
        <v>#REF!</v>
      </c>
      <c r="M8" s="41" t="e">
        <f>AND('RC expenses'!A22,"AAAAAG83xww=")</f>
        <v>#VALUE!</v>
      </c>
      <c r="N8" s="41" t="e">
        <f>AND('RC expenses'!B22,"AAAAAG83xw0=")</f>
        <v>#VALUE!</v>
      </c>
      <c r="O8" s="41" t="e">
        <f>AND('RC expenses'!C22,"AAAAAG83xw4=")</f>
        <v>#VALUE!</v>
      </c>
      <c r="P8" s="41" t="e">
        <f>AND('RC expenses'!D22,"AAAAAG83xw8=")</f>
        <v>#VALUE!</v>
      </c>
      <c r="Q8" s="41" t="e">
        <f>AND('RC expenses'!A21,"AAAAAG83xxA=")</f>
        <v>#VALUE!</v>
      </c>
      <c r="R8" s="41" t="e">
        <f>AND('RC expenses'!B21,"AAAAAG83xxE=")</f>
        <v>#VALUE!</v>
      </c>
      <c r="S8" s="41" t="e">
        <f>AND('RC expenses'!C21,"AAAAAG83xxI=")</f>
        <v>#VALUE!</v>
      </c>
      <c r="T8" s="41" t="e">
        <f>AND('RC expenses'!#REF!,"AAAAAG83xxM=")</f>
        <v>#REF!</v>
      </c>
      <c r="U8" s="41">
        <v>0</v>
      </c>
      <c r="V8" s="41" t="e">
        <f>AND('RC expenses'!A24,"AAAAAG83xxU=")</f>
        <v>#VALUE!</v>
      </c>
      <c r="W8" s="41" t="e">
        <f>AND('RC expenses'!B24,"AAAAAG83xxY=")</f>
        <v>#VALUE!</v>
      </c>
      <c r="X8" s="41" t="e">
        <f>AND('RC expenses'!C24,"AAAAAG83xxc=")</f>
        <v>#VALUE!</v>
      </c>
      <c r="Y8" s="41" t="e">
        <f>AND('RC expenses'!D24,"AAAAAG83xxg=")</f>
        <v>#VALUE!</v>
      </c>
      <c r="Z8" s="41">
        <v>0</v>
      </c>
      <c r="AA8" s="41" t="e">
        <f>AND('RC expenses'!A25,"AAAAAG83xxo=")</f>
        <v>#VALUE!</v>
      </c>
      <c r="AB8" s="41" t="e">
        <f>AND('RC expenses'!B25,"AAAAAG83xxs=")</f>
        <v>#VALUE!</v>
      </c>
      <c r="AC8" s="41" t="e">
        <f>AND('RC expenses'!C25,"AAAAAG83xxw=")</f>
        <v>#VALUE!</v>
      </c>
      <c r="AD8" s="41" t="e">
        <f>AND('RC expenses'!D25,"AAAAAG83xx0=")</f>
        <v>#VALUE!</v>
      </c>
      <c r="AE8" s="41">
        <v>0</v>
      </c>
      <c r="AF8" s="41" t="e">
        <f>AND('RC expenses'!A26,"AAAAAG83xx8=")</f>
        <v>#VALUE!</v>
      </c>
      <c r="AG8" s="41" t="e">
        <f>AND('RC expenses'!B26,"AAAAAG83xyA=")</f>
        <v>#VALUE!</v>
      </c>
      <c r="AH8" s="41" t="e">
        <f>AND('RC expenses'!C26,"AAAAAG83xyE=")</f>
        <v>#VALUE!</v>
      </c>
      <c r="AI8" s="41" t="e">
        <f>AND('RC expenses'!D26,"AAAAAG83xyI=")</f>
        <v>#VALUE!</v>
      </c>
      <c r="AJ8" s="41">
        <v>0</v>
      </c>
      <c r="AK8" s="41" t="e">
        <f>AND('RC expenses'!A27,"AAAAAG83xyQ=")</f>
        <v>#VALUE!</v>
      </c>
      <c r="AL8" s="41" t="e">
        <f>AND('RC expenses'!B27,"AAAAAG83xyU=")</f>
        <v>#VALUE!</v>
      </c>
      <c r="AM8" s="41" t="e">
        <f>AND('RC expenses'!C27,"AAAAAG83xyY=")</f>
        <v>#VALUE!</v>
      </c>
      <c r="AN8" s="41" t="e">
        <f>AND('RC expenses'!D27,"AAAAAG83xyc=")</f>
        <v>#VALUE!</v>
      </c>
      <c r="AO8" s="41">
        <v>0</v>
      </c>
      <c r="AP8" s="41" t="e">
        <f>AND('RC expenses'!A28,"AAAAAG83xyk=")</f>
        <v>#VALUE!</v>
      </c>
      <c r="AQ8" s="41" t="e">
        <f>AND('RC expenses'!B28,"AAAAAG83xyo=")</f>
        <v>#VALUE!</v>
      </c>
      <c r="AR8" s="41" t="e">
        <f>AND('RC expenses'!C28,"AAAAAG83xys=")</f>
        <v>#VALUE!</v>
      </c>
      <c r="AS8" s="41" t="e">
        <f>AND('RC expenses'!D28,"AAAAAG83xyw=")</f>
        <v>#VALUE!</v>
      </c>
      <c r="AT8" s="41">
        <v>0</v>
      </c>
      <c r="AU8" s="41" t="e">
        <f>AND('RC expenses'!A29,"AAAAAG83xy4=")</f>
        <v>#VALUE!</v>
      </c>
      <c r="AV8" s="41" t="e">
        <f>AND('RC expenses'!B29,"AAAAAG83xy8=")</f>
        <v>#VALUE!</v>
      </c>
      <c r="AW8" s="41" t="e">
        <f>AND('RC expenses'!C29,"AAAAAG83xzA=")</f>
        <v>#VALUE!</v>
      </c>
      <c r="AX8" s="41" t="e">
        <f>AND('RC expenses'!D29,"AAAAAG83xzE=")</f>
        <v>#VALUE!</v>
      </c>
      <c r="AY8" s="41">
        <v>0</v>
      </c>
      <c r="AZ8" s="41" t="e">
        <f>AND('RC expenses'!A30,"AAAAAG83xzM=")</f>
        <v>#VALUE!</v>
      </c>
      <c r="BA8" s="41" t="e">
        <f>AND('RC expenses'!B30,"AAAAAG83xzQ=")</f>
        <v>#VALUE!</v>
      </c>
      <c r="BB8" s="41" t="e">
        <f>AND('RC expenses'!C30,"AAAAAG83xzU=")</f>
        <v>#VALUE!</v>
      </c>
      <c r="BC8" s="59" t="e">
        <f>AND('RC expenses'!D21,"AAAAAG83xzY=")</f>
        <v>#VALUE!</v>
      </c>
      <c r="BD8" s="60" t="s">
        <v>131</v>
      </c>
      <c r="BE8" s="28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9"/>
      <c r="DQ8" s="29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29"/>
      <c r="ED8" s="29"/>
      <c r="EE8" s="29"/>
      <c r="EF8" s="29"/>
      <c r="EG8" s="29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29"/>
      <c r="FX8" s="29"/>
      <c r="FY8" s="29"/>
      <c r="FZ8" s="29"/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  <c r="HU8" s="29"/>
      <c r="HV8" s="29"/>
      <c r="HW8" s="29"/>
      <c r="HX8" s="29"/>
      <c r="HY8" s="29"/>
      <c r="HZ8" s="29"/>
      <c r="IA8" s="29"/>
      <c r="IB8" s="29"/>
      <c r="IC8" s="29"/>
      <c r="ID8" s="29"/>
      <c r="IE8" s="29"/>
      <c r="IF8" s="29"/>
      <c r="IG8" s="29"/>
      <c r="IH8" s="29"/>
      <c r="II8" s="29"/>
      <c r="IJ8" s="29"/>
      <c r="IK8" s="29"/>
      <c r="IL8" s="29"/>
      <c r="IM8" s="29"/>
      <c r="IN8" s="29"/>
      <c r="IO8" s="29"/>
      <c r="IP8" s="29"/>
      <c r="IQ8" s="29"/>
      <c r="IR8" s="29"/>
      <c r="IS8" s="29"/>
      <c r="IT8" s="29"/>
      <c r="IU8" s="29"/>
      <c r="IV8" s="29"/>
    </row>
    <row r="9" spans="1:256" x14ac:dyDescent="0.2">
      <c r="A9" s="41" t="e">
        <f>AND(ROARS!K2,"AAAAAH7jngA=")</f>
        <v>#VALUE!</v>
      </c>
      <c r="B9" s="41" t="e">
        <f>AND(ROARS!L2,"AAAAAH7jngE=")</f>
        <v>#VALUE!</v>
      </c>
      <c r="C9" s="41" t="e">
        <f>AND(ROARS!M2,"AAAAAH7jngI=")</f>
        <v>#VALUE!</v>
      </c>
      <c r="D9" s="41" t="e">
        <f>AND(ROARS!N2,"AAAAAH7jngM=")</f>
        <v>#VALUE!</v>
      </c>
      <c r="E9" s="41" t="e">
        <f>AND(ROARS!O2,"AAAAAH7jngQ=")</f>
        <v>#VALUE!</v>
      </c>
      <c r="F9" s="41" t="e">
        <f>AND(ROARS!P2,"AAAAAH7jngU=")</f>
        <v>#VALUE!</v>
      </c>
      <c r="G9" s="41" t="e">
        <f>AND(ROARS!Q2,"AAAAAH7jngY=")</f>
        <v>#VALUE!</v>
      </c>
      <c r="H9" s="41" t="e">
        <f>AND(ROARS!R2,"AAAAAH7jngc=")</f>
        <v>#VALUE!</v>
      </c>
      <c r="I9" s="41" t="e">
        <f>AND(ROARS!K3,"AAAAAH7jngg=")</f>
        <v>#VALUE!</v>
      </c>
      <c r="J9" s="41" t="e">
        <f>AND(ROARS!L3,"AAAAAH7jngk=")</f>
        <v>#VALUE!</v>
      </c>
      <c r="K9" s="41" t="e">
        <f>AND(ROARS!M3,"AAAAAH7jngo=")</f>
        <v>#VALUE!</v>
      </c>
      <c r="L9" s="41" t="e">
        <f>AND(ROARS!N3,"AAAAAH7jngs=")</f>
        <v>#VALUE!</v>
      </c>
      <c r="M9" s="41" t="e">
        <f>AND(ROARS!O3,"AAAAAH7jngw=")</f>
        <v>#VALUE!</v>
      </c>
      <c r="N9" s="41" t="e">
        <f>AND(ROARS!P3,"AAAAAH7jng0=")</f>
        <v>#VALUE!</v>
      </c>
      <c r="O9" s="41" t="e">
        <f>AND(ROARS!Q3,"AAAAAH7jng4=")</f>
        <v>#VALUE!</v>
      </c>
      <c r="P9" s="41" t="e">
        <f>AND(ROARS!R3,"AAAAAH7jng8=")</f>
        <v>#VALUE!</v>
      </c>
      <c r="Q9" s="41" t="e">
        <f>AND(ROARS!K4,"AAAAAH7jnhA=")</f>
        <v>#VALUE!</v>
      </c>
      <c r="R9" s="41" t="e">
        <f>AND(ROARS!L4,"AAAAAH7jnhE=")</f>
        <v>#VALUE!</v>
      </c>
      <c r="S9" s="41" t="e">
        <f>AND(ROARS!M4,"AAAAAH7jnhI=")</f>
        <v>#VALUE!</v>
      </c>
      <c r="T9" s="41" t="e">
        <f>AND(ROARS!N4,"AAAAAH7jnhM=")</f>
        <v>#VALUE!</v>
      </c>
      <c r="U9" s="41" t="e">
        <f>AND(ROARS!O4,"AAAAAH7jnhQ=")</f>
        <v>#VALUE!</v>
      </c>
      <c r="V9" s="41" t="e">
        <f>AND(ROARS!P4,"AAAAAH7jnhU=")</f>
        <v>#VALUE!</v>
      </c>
      <c r="W9" s="41" t="e">
        <f>AND(ROARS!Q4,"AAAAAH7jnhY=")</f>
        <v>#VALUE!</v>
      </c>
      <c r="X9" s="41" t="e">
        <f>AND(ROARS!R4,"AAAAAH7jnhc=")</f>
        <v>#VALUE!</v>
      </c>
      <c r="Y9" s="41" t="e">
        <f>AND(ROARS!K5,"AAAAAH7jnhg=")</f>
        <v>#VALUE!</v>
      </c>
      <c r="Z9" s="41" t="e">
        <f>AND(ROARS!L5,"AAAAAH7jnhk=")</f>
        <v>#VALUE!</v>
      </c>
      <c r="AA9" s="41" t="e">
        <f>AND(ROARS!M5,"AAAAAH7jnho=")</f>
        <v>#VALUE!</v>
      </c>
      <c r="AB9" s="41" t="e">
        <f>AND(ROARS!N5,"AAAAAH7jnhs=")</f>
        <v>#VALUE!</v>
      </c>
      <c r="AC9" s="41" t="e">
        <f>AND(ROARS!O5,"AAAAAH7jnhw=")</f>
        <v>#VALUE!</v>
      </c>
      <c r="AD9" s="41" t="e">
        <f>AND(ROARS!P5,"AAAAAH7jnh0=")</f>
        <v>#VALUE!</v>
      </c>
      <c r="AE9" s="41" t="e">
        <f>AND(ROARS!Q5,"AAAAAH7jnh4=")</f>
        <v>#VALUE!</v>
      </c>
      <c r="AF9" s="41" t="e">
        <f>AND(ROARS!R5,"AAAAAH7jnh8=")</f>
        <v>#VALUE!</v>
      </c>
      <c r="AG9" s="41" t="e">
        <f>AND(ROARS!K6,"AAAAAH7jniA=")</f>
        <v>#VALUE!</v>
      </c>
      <c r="AH9" s="41" t="e">
        <f>AND(ROARS!L6,"AAAAAH7jniE=")</f>
        <v>#VALUE!</v>
      </c>
      <c r="AI9" s="41" t="e">
        <f>AND(ROARS!M6,"AAAAAH7jniI=")</f>
        <v>#VALUE!</v>
      </c>
      <c r="AJ9" s="41" t="e">
        <f>AND(ROARS!N6,"AAAAAH7jniM=")</f>
        <v>#VALUE!</v>
      </c>
      <c r="AK9" s="41" t="e">
        <f>AND(ROARS!O6,"AAAAAH7jniQ=")</f>
        <v>#VALUE!</v>
      </c>
      <c r="AL9" s="41" t="e">
        <f>AND(ROARS!P6,"AAAAAH7jniU=")</f>
        <v>#VALUE!</v>
      </c>
      <c r="AM9" s="41" t="e">
        <f>AND(ROARS!Q6,"AAAAAH7jniY=")</f>
        <v>#VALUE!</v>
      </c>
      <c r="AN9" s="41" t="e">
        <f>AND(ROARS!R6,"AAAAAH7jnic=")</f>
        <v>#VALUE!</v>
      </c>
      <c r="AO9" s="41" t="e">
        <f>AND(ROARS!K7,"AAAAAH7jnig=")</f>
        <v>#VALUE!</v>
      </c>
      <c r="AP9" s="41" t="e">
        <f>AND(ROARS!L7,"AAAAAH7jnik=")</f>
        <v>#VALUE!</v>
      </c>
      <c r="AQ9" s="41" t="e">
        <f>AND(ROARS!M7,"AAAAAH7jnio=")</f>
        <v>#VALUE!</v>
      </c>
      <c r="AR9" s="41" t="e">
        <f>AND(ROARS!N7,"AAAAAH7jnis=")</f>
        <v>#VALUE!</v>
      </c>
      <c r="AS9" s="41" t="e">
        <f>AND(ROARS!O7,"AAAAAH7jniw=")</f>
        <v>#VALUE!</v>
      </c>
      <c r="AT9" s="41" t="e">
        <f>AND(ROARS!P7,"AAAAAH7jni0=")</f>
        <v>#VALUE!</v>
      </c>
      <c r="AU9" s="41" t="e">
        <f>AND(ROARS!Q7,"AAAAAH7jni4=")</f>
        <v>#VALUE!</v>
      </c>
      <c r="AV9" s="41" t="e">
        <f>AND(ROARS!R7,"AAAAAH7jni8=")</f>
        <v>#VALUE!</v>
      </c>
      <c r="AW9" s="41" t="e">
        <f>AND(ROARS!K8,"AAAAAH7jnjA=")</f>
        <v>#VALUE!</v>
      </c>
      <c r="AX9" s="41" t="e">
        <f>AND(ROARS!L8,"AAAAAH7jnjE=")</f>
        <v>#VALUE!</v>
      </c>
      <c r="AY9" s="41" t="e">
        <f>AND(ROARS!M8,"AAAAAH7jnjI=")</f>
        <v>#VALUE!</v>
      </c>
      <c r="AZ9" s="41" t="e">
        <f>AND(ROARS!N8,"AAAAAH7jnjM=")</f>
        <v>#VALUE!</v>
      </c>
      <c r="BA9" s="41" t="e">
        <f>AND(ROARS!O8,"AAAAAH7jnjQ=")</f>
        <v>#VALUE!</v>
      </c>
      <c r="BB9" s="41" t="e">
        <f>AND(ROARS!P8,"AAAAAH7jnjU=")</f>
        <v>#VALUE!</v>
      </c>
      <c r="BC9" s="41" t="e">
        <f>AND(ROARS!Q8,"AAAAAH7jnjY=")</f>
        <v>#VALUE!</v>
      </c>
      <c r="BD9" s="61" t="e">
        <f>AND(ROARS!R8,"AAAAAH7jnjc=")</f>
        <v>#VALUE!</v>
      </c>
      <c r="BE9" s="41" t="e">
        <f>AND(ROARS!K9,"AAAAAH7jnjg=")</f>
        <v>#VALUE!</v>
      </c>
      <c r="BF9" s="41" t="e">
        <f>AND(ROARS!L9,"AAAAAH7jnjk=")</f>
        <v>#VALUE!</v>
      </c>
      <c r="BG9" s="41" t="e">
        <f>AND(ROARS!M9,"AAAAAH7jnjo=")</f>
        <v>#VALUE!</v>
      </c>
      <c r="BH9" s="41" t="e">
        <f>AND(ROARS!N9,"AAAAAH7jnjs=")</f>
        <v>#VALUE!</v>
      </c>
      <c r="BI9" s="41" t="e">
        <f>AND(ROARS!O9,"AAAAAH7jnjw=")</f>
        <v>#VALUE!</v>
      </c>
      <c r="BJ9" s="41" t="e">
        <f>AND(ROARS!P9,"AAAAAH7jnj0=")</f>
        <v>#VALUE!</v>
      </c>
      <c r="BK9" s="41" t="e">
        <f>AND(ROARS!Q9,"AAAAAH7jnj4=")</f>
        <v>#VALUE!</v>
      </c>
      <c r="BL9" s="41" t="e">
        <f>AND(ROARS!R9,"AAAAAH7jnj8=")</f>
        <v>#VALUE!</v>
      </c>
      <c r="BM9" s="41" t="e">
        <f>AND(ROARS!K10,"AAAAAH7jnkA=")</f>
        <v>#VALUE!</v>
      </c>
      <c r="BN9" s="41" t="e">
        <f>AND(ROARS!L10,"AAAAAH7jnkE=")</f>
        <v>#VALUE!</v>
      </c>
      <c r="BO9" s="41" t="e">
        <f>AND(ROARS!M10,"AAAAAH7jnkI=")</f>
        <v>#VALUE!</v>
      </c>
      <c r="BP9" s="41" t="e">
        <f>AND(ROARS!N10,"AAAAAH7jnkM=")</f>
        <v>#VALUE!</v>
      </c>
      <c r="BQ9" s="41" t="e">
        <f>AND(ROARS!O10,"AAAAAH7jnkQ=")</f>
        <v>#VALUE!</v>
      </c>
      <c r="BR9" s="41" t="e">
        <f>AND(ROARS!P10,"AAAAAH7jnkU=")</f>
        <v>#VALUE!</v>
      </c>
      <c r="BS9" s="41" t="e">
        <f>AND(ROARS!Q10,"AAAAAH7jnkY=")</f>
        <v>#VALUE!</v>
      </c>
      <c r="BT9" s="41" t="e">
        <f>AND(ROARS!R10,"AAAAAH7jnkc=")</f>
        <v>#VALUE!</v>
      </c>
      <c r="BU9" s="41" t="e">
        <f>AND(ROARS!K11,"AAAAAH7jnkg=")</f>
        <v>#VALUE!</v>
      </c>
      <c r="BV9" s="41" t="e">
        <f>AND(ROARS!L11,"AAAAAH7jnkk=")</f>
        <v>#VALUE!</v>
      </c>
      <c r="BW9" s="41" t="e">
        <f>AND(ROARS!M11,"AAAAAH7jnko=")</f>
        <v>#VALUE!</v>
      </c>
      <c r="BX9" s="41" t="e">
        <f>AND(ROARS!N11,"AAAAAH7jnks=")</f>
        <v>#VALUE!</v>
      </c>
      <c r="BY9" s="41" t="e">
        <f>AND(ROARS!O11,"AAAAAH7jnkw=")</f>
        <v>#VALUE!</v>
      </c>
      <c r="BZ9" s="41" t="e">
        <f>AND(ROARS!P11,"AAAAAH7jnk0=")</f>
        <v>#VALUE!</v>
      </c>
      <c r="CA9" s="41" t="e">
        <f>AND(ROARS!Q11,"AAAAAH7jnk4=")</f>
        <v>#VALUE!</v>
      </c>
      <c r="CB9" s="41" t="e">
        <f>AND(ROARS!R11,"AAAAAH7jnk8=")</f>
        <v>#VALUE!</v>
      </c>
      <c r="CC9" s="41" t="e">
        <f>AND(ROARS!K12,"AAAAAH7jnlA=")</f>
        <v>#VALUE!</v>
      </c>
      <c r="CD9" s="41" t="e">
        <f>AND(ROARS!L12,"AAAAAH7jnlE=")</f>
        <v>#VALUE!</v>
      </c>
      <c r="CE9" s="41" t="e">
        <f>AND(ROARS!M12,"AAAAAH7jnlI=")</f>
        <v>#VALUE!</v>
      </c>
      <c r="CF9" s="41" t="e">
        <f>AND(ROARS!N12,"AAAAAH7jnlM=")</f>
        <v>#VALUE!</v>
      </c>
      <c r="CG9" s="41" t="e">
        <f>AND(ROARS!O12,"AAAAAH7jnlQ=")</f>
        <v>#VALUE!</v>
      </c>
      <c r="CH9" s="41" t="e">
        <f>AND(ROARS!P12,"AAAAAH7jnlU=")</f>
        <v>#VALUE!</v>
      </c>
      <c r="CI9" s="41" t="e">
        <f>AND(ROARS!Q12,"AAAAAH7jnlY=")</f>
        <v>#VALUE!</v>
      </c>
      <c r="CJ9" s="41" t="e">
        <f>AND(ROARS!R12,"AAAAAH7jnlc=")</f>
        <v>#VALUE!</v>
      </c>
      <c r="CK9" s="41">
        <v>0</v>
      </c>
      <c r="CL9" s="41" t="e">
        <f>AND(ROARS!A13,"AAAAAH7jnlk=")</f>
        <v>#VALUE!</v>
      </c>
      <c r="CM9" s="41" t="e">
        <f>AND(ROARS!B13,"AAAAAH7jnlo=")</f>
        <v>#VALUE!</v>
      </c>
      <c r="CN9" s="41" t="e">
        <f>AND(ROARS!C13,"AAAAAH7jnls=")</f>
        <v>#VALUE!</v>
      </c>
      <c r="CO9" s="41" t="e">
        <f>AND(ROARS!D13,"AAAAAH7jnlw=")</f>
        <v>#VALUE!</v>
      </c>
      <c r="CP9" s="41" t="e">
        <f>AND(ROARS!E13,"AAAAAH7jnl0=")</f>
        <v>#VALUE!</v>
      </c>
      <c r="CQ9" s="41" t="e">
        <f>AND(ROARS!F13,"AAAAAH7jnl4=")</f>
        <v>#VALUE!</v>
      </c>
      <c r="CR9" s="41">
        <v>0</v>
      </c>
      <c r="CS9" s="41" t="e">
        <f>AND(ROARS!A14,"AAAAAH7jnmA=")</f>
        <v>#VALUE!</v>
      </c>
      <c r="CT9" s="41" t="e">
        <f>AND(ROARS!B14,"AAAAAH7jnmE=")</f>
        <v>#VALUE!</v>
      </c>
      <c r="CU9" s="41" t="e">
        <f>AND(ROARS!C14,"AAAAAH7jnmI=")</f>
        <v>#VALUE!</v>
      </c>
      <c r="CV9" s="41" t="e">
        <f>AND(ROARS!D14,"AAAAAH7jnmM=")</f>
        <v>#VALUE!</v>
      </c>
      <c r="CW9" s="41" t="e">
        <f>AND(ROARS!E14,"AAAAAH7jnmQ=")</f>
        <v>#VALUE!</v>
      </c>
      <c r="CX9" s="41" t="e">
        <f>AND(ROARS!F14,"AAAAAH7jnmU=")</f>
        <v>#VALUE!</v>
      </c>
      <c r="CY9" s="41">
        <v>0</v>
      </c>
      <c r="CZ9" s="41" t="e">
        <f>AND(ROARS!A15,"AAAAAH7jnmc=")</f>
        <v>#VALUE!</v>
      </c>
      <c r="DA9" s="41" t="e">
        <f>AND(ROARS!B15,"AAAAAH7jnmg=")</f>
        <v>#VALUE!</v>
      </c>
      <c r="DB9" s="41" t="e">
        <f>AND(ROARS!C15,"AAAAAH7jnmk=")</f>
        <v>#VALUE!</v>
      </c>
      <c r="DC9" s="41" t="e">
        <f>AND(ROARS!D15,"AAAAAH7jnmo=")</f>
        <v>#VALUE!</v>
      </c>
      <c r="DD9" s="41" t="e">
        <f>AND(ROARS!E15,"AAAAAH7jnms=")</f>
        <v>#VALUE!</v>
      </c>
      <c r="DE9" s="41" t="e">
        <f>AND(ROARS!F15,"AAAAAH7jnmw=")</f>
        <v>#VALUE!</v>
      </c>
      <c r="DF9" s="41">
        <v>0</v>
      </c>
      <c r="DG9" s="41" t="e">
        <f>AND(ROARS!A17,"AAAAAH7jnm4=")</f>
        <v>#VALUE!</v>
      </c>
      <c r="DH9" s="41" t="e">
        <f>AND(ROARS!B17,"AAAAAH7jnm8=")</f>
        <v>#VALUE!</v>
      </c>
      <c r="DI9" s="41" t="e">
        <f>AND(ROARS!C17,"AAAAAH7jnnA=")</f>
        <v>#VALUE!</v>
      </c>
      <c r="DJ9" s="41" t="e">
        <f>AND(ROARS!D17,"AAAAAH7jnnE=")</f>
        <v>#VALUE!</v>
      </c>
      <c r="DK9" s="41" t="e">
        <f>AND(ROARS!E17,"AAAAAH7jnnI=")</f>
        <v>#VALUE!</v>
      </c>
      <c r="DL9" s="41" t="e">
        <f>AND(ROARS!F17,"AAAAAH7jnnM=")</f>
        <v>#VALUE!</v>
      </c>
      <c r="DM9" s="41">
        <v>0</v>
      </c>
      <c r="DN9" s="41" t="e">
        <f>AND(ROARS!A18,"AAAAAH7jnnU=")</f>
        <v>#VALUE!</v>
      </c>
      <c r="DO9" s="41" t="e">
        <f>AND(ROARS!B18,"AAAAAH7jnnY=")</f>
        <v>#VALUE!</v>
      </c>
      <c r="DP9" s="41" t="e">
        <f>AND(ROARS!C18,"AAAAAH7jnnc=")</f>
        <v>#VALUE!</v>
      </c>
      <c r="DQ9" s="41" t="e">
        <f>AND(ROARS!D18,"AAAAAH7jnng=")</f>
        <v>#VALUE!</v>
      </c>
      <c r="DR9" s="41" t="e">
        <f>AND(ROARS!E18,"AAAAAH7jnnk=")</f>
        <v>#VALUE!</v>
      </c>
      <c r="DS9" s="41" t="e">
        <f>AND(ROARS!F18,"AAAAAH7jnno=")</f>
        <v>#VALUE!</v>
      </c>
      <c r="DT9" s="41">
        <v>0</v>
      </c>
      <c r="DU9" s="41" t="e">
        <f>AND(ROARS!A19,"AAAAAH7jnnw=")</f>
        <v>#VALUE!</v>
      </c>
      <c r="DV9" s="41" t="e">
        <f>AND(ROARS!B19,"AAAAAH7jnn0=")</f>
        <v>#VALUE!</v>
      </c>
      <c r="DW9" s="41" t="e">
        <f>AND(ROARS!C19,"AAAAAH7jnn4=")</f>
        <v>#VALUE!</v>
      </c>
      <c r="DX9" s="41" t="e">
        <f>AND(ROARS!D19,"AAAAAH7jnn8=")</f>
        <v>#VALUE!</v>
      </c>
      <c r="DY9" s="41" t="e">
        <f>AND(ROARS!E19,"AAAAAH7jnoA=")</f>
        <v>#VALUE!</v>
      </c>
      <c r="DZ9" s="41" t="e">
        <f>AND(ROARS!F19,"AAAAAH7jnoE=")</f>
        <v>#VALUE!</v>
      </c>
      <c r="EA9" s="41">
        <v>0</v>
      </c>
      <c r="EB9" s="41" t="e">
        <f>AND(ROARS!A20,"AAAAAH7jnoM=")</f>
        <v>#VALUE!</v>
      </c>
      <c r="EC9" s="41" t="e">
        <f>AND(ROARS!B20,"AAAAAH7jnoQ=")</f>
        <v>#VALUE!</v>
      </c>
      <c r="ED9" s="41" t="e">
        <f>AND(ROARS!C20,"AAAAAH7jnoU=")</f>
        <v>#VALUE!</v>
      </c>
      <c r="EE9" s="41" t="e">
        <f>AND(ROARS!D20,"AAAAAH7jnoY=")</f>
        <v>#VALUE!</v>
      </c>
      <c r="EF9" s="41" t="e">
        <f>AND(ROARS!E20,"AAAAAH7jnoc=")</f>
        <v>#VALUE!</v>
      </c>
      <c r="EG9" s="41" t="e">
        <f>AND(ROARS!F20,"AAAAAH7jnog=")</f>
        <v>#VALUE!</v>
      </c>
      <c r="EH9" s="41">
        <v>0</v>
      </c>
      <c r="EI9" s="41" t="e">
        <f>AND(ROARS!A21,"AAAAAH7jnoo=")</f>
        <v>#VALUE!</v>
      </c>
      <c r="EJ9" s="41" t="e">
        <f>AND(ROARS!B21,"AAAAAH7jnos=")</f>
        <v>#VALUE!</v>
      </c>
      <c r="EK9" s="41" t="e">
        <f>AND(ROARS!C21,"AAAAAH7jnow=")</f>
        <v>#VALUE!</v>
      </c>
      <c r="EL9" s="41" t="e">
        <f>AND(ROARS!D21,"AAAAAH7jno0=")</f>
        <v>#VALUE!</v>
      </c>
      <c r="EM9" s="41" t="e">
        <f>AND(ROARS!E21,"AAAAAH7jno4=")</f>
        <v>#VALUE!</v>
      </c>
      <c r="EN9" s="41" t="e">
        <f>AND(ROARS!F21,"AAAAAH7jno8=")</f>
        <v>#VALUE!</v>
      </c>
      <c r="EO9" s="41">
        <v>0</v>
      </c>
      <c r="EP9" s="41" t="e">
        <f>AND(ROARS!A22,"AAAAAH7jnpE=")</f>
        <v>#VALUE!</v>
      </c>
      <c r="EQ9" s="41" t="e">
        <f>AND(ROARS!B22,"AAAAAH7jnpI=")</f>
        <v>#VALUE!</v>
      </c>
      <c r="ER9" s="41" t="e">
        <f>AND(ROARS!C22,"AAAAAH7jnpM=")</f>
        <v>#VALUE!</v>
      </c>
      <c r="ES9" s="41" t="e">
        <f>AND(ROARS!D22,"AAAAAH7jnpQ=")</f>
        <v>#VALUE!</v>
      </c>
      <c r="ET9" s="41" t="e">
        <f>AND(ROARS!E22,"AAAAAH7jnpU=")</f>
        <v>#VALUE!</v>
      </c>
      <c r="EU9" s="41" t="e">
        <f>AND(ROARS!F22,"AAAAAH7jnpY=")</f>
        <v>#VALUE!</v>
      </c>
      <c r="EV9" s="41">
        <v>0</v>
      </c>
      <c r="EW9" s="41" t="e">
        <f>AND(ROARS!A23,"AAAAAH7jnpg=")</f>
        <v>#VALUE!</v>
      </c>
      <c r="EX9" s="41" t="e">
        <f>AND(ROARS!B23,"AAAAAH7jnpk=")</f>
        <v>#VALUE!</v>
      </c>
      <c r="EY9" s="41" t="e">
        <f>AND(ROARS!C23,"AAAAAH7jnpo=")</f>
        <v>#VALUE!</v>
      </c>
      <c r="EZ9" s="41" t="e">
        <f>AND(ROARS!D23,"AAAAAH7jnps=")</f>
        <v>#VALUE!</v>
      </c>
      <c r="FA9" s="41" t="e">
        <f>AND(ROARS!E23,"AAAAAH7jnpw=")</f>
        <v>#VALUE!</v>
      </c>
      <c r="FB9" s="41" t="e">
        <f>AND(ROARS!F23,"AAAAAH7jnp0=")</f>
        <v>#VALUE!</v>
      </c>
      <c r="FC9" s="41">
        <v>0</v>
      </c>
      <c r="FD9" s="41" t="e">
        <f>AND(ROARS!A24,"AAAAAH7jnp8=")</f>
        <v>#VALUE!</v>
      </c>
      <c r="FE9" s="41" t="e">
        <f>AND(ROARS!B24,"AAAAAH7jnqA=")</f>
        <v>#VALUE!</v>
      </c>
      <c r="FF9" s="41" t="e">
        <f>AND(ROARS!C24,"AAAAAH7jnqE=")</f>
        <v>#VALUE!</v>
      </c>
      <c r="FG9" s="41" t="e">
        <f>AND(ROARS!D24,"AAAAAH7jnqI=")</f>
        <v>#VALUE!</v>
      </c>
      <c r="FH9" s="41" t="e">
        <f>AND(ROARS!E24,"AAAAAH7jnqM=")</f>
        <v>#VALUE!</v>
      </c>
      <c r="FI9" s="41" t="e">
        <f>AND(ROARS!F24,"AAAAAH7jnqQ=")</f>
        <v>#VALUE!</v>
      </c>
      <c r="FJ9" s="41">
        <v>0</v>
      </c>
      <c r="FK9" s="41" t="e">
        <f>AND(ROARS!A25,"AAAAAH7jnqY=")</f>
        <v>#VALUE!</v>
      </c>
      <c r="FL9" s="41" t="e">
        <f>AND(ROARS!B25,"AAAAAH7jnqc=")</f>
        <v>#VALUE!</v>
      </c>
      <c r="FM9" s="41" t="e">
        <f>AND(ROARS!C25,"AAAAAH7jnqg=")</f>
        <v>#VALUE!</v>
      </c>
      <c r="FN9" s="41" t="e">
        <f>AND(ROARS!D25,"AAAAAH7jnqk=")</f>
        <v>#VALUE!</v>
      </c>
      <c r="FO9" s="41" t="e">
        <f>AND(ROARS!E25,"AAAAAH7jnqo=")</f>
        <v>#VALUE!</v>
      </c>
      <c r="FP9" s="41" t="e">
        <f>AND(ROARS!F25,"AAAAAH7jnqs=")</f>
        <v>#VALUE!</v>
      </c>
      <c r="FQ9" s="41">
        <v>0</v>
      </c>
      <c r="FR9" s="41" t="e">
        <f>AND(ROARS!A26,"AAAAAH7jnq0=")</f>
        <v>#VALUE!</v>
      </c>
      <c r="FS9" s="41" t="e">
        <f>AND(ROARS!B26,"AAAAAH7jnq4=")</f>
        <v>#VALUE!</v>
      </c>
      <c r="FT9" s="41" t="e">
        <f>AND(ROARS!C26,"AAAAAH7jnq8=")</f>
        <v>#VALUE!</v>
      </c>
      <c r="FU9" s="41" t="e">
        <f>AND(ROARS!D26,"AAAAAH7jnrA=")</f>
        <v>#VALUE!</v>
      </c>
      <c r="FV9" s="41" t="e">
        <f>AND(ROARS!E26,"AAAAAH7jnrE=")</f>
        <v>#VALUE!</v>
      </c>
      <c r="FW9" s="41" t="e">
        <f>AND(ROARS!F26,"AAAAAH7jnrI=")</f>
        <v>#VALUE!</v>
      </c>
      <c r="FX9" s="41">
        <v>0</v>
      </c>
      <c r="FY9" s="41" t="e">
        <f>AND(ROARS!A27,"AAAAAH7jnrQ=")</f>
        <v>#VALUE!</v>
      </c>
      <c r="FZ9" s="41" t="e">
        <f>AND(ROARS!B27,"AAAAAH7jnrU=")</f>
        <v>#VALUE!</v>
      </c>
      <c r="GA9" s="41" t="e">
        <f>AND(ROARS!C27,"AAAAAH7jnrY=")</f>
        <v>#VALUE!</v>
      </c>
      <c r="GB9" s="41" t="e">
        <f>AND(ROARS!D27,"AAAAAH7jnrc=")</f>
        <v>#VALUE!</v>
      </c>
      <c r="GC9" s="41" t="e">
        <f>AND(ROARS!E27,"AAAAAH7jnrg=")</f>
        <v>#VALUE!</v>
      </c>
      <c r="GD9" s="41" t="e">
        <f>AND(ROARS!F27,"AAAAAH7jnrk=")</f>
        <v>#VALUE!</v>
      </c>
      <c r="GE9" s="41">
        <v>0</v>
      </c>
      <c r="GF9" s="41" t="e">
        <f>AND(ROARS!A28,"AAAAAH7jnrs=")</f>
        <v>#VALUE!</v>
      </c>
      <c r="GG9" s="41" t="e">
        <f>AND(ROARS!B28,"AAAAAH7jnrw=")</f>
        <v>#VALUE!</v>
      </c>
      <c r="GH9" s="41" t="e">
        <f>AND(ROARS!C28,"AAAAAH7jnr0=")</f>
        <v>#VALUE!</v>
      </c>
      <c r="GI9" s="41" t="e">
        <f>AND(ROARS!D28,"AAAAAH7jnr4=")</f>
        <v>#VALUE!</v>
      </c>
      <c r="GJ9" s="41" t="e">
        <f>AND(ROARS!E28,"AAAAAH7jnr8=")</f>
        <v>#VALUE!</v>
      </c>
      <c r="GK9" s="41" t="e">
        <f>AND(ROARS!F28,"AAAAAH7jnsA=")</f>
        <v>#VALUE!</v>
      </c>
      <c r="GL9" s="41">
        <v>0</v>
      </c>
      <c r="GM9" s="41" t="e">
        <f>AND(ROARS!A29,"AAAAAH7jnsI=")</f>
        <v>#VALUE!</v>
      </c>
      <c r="GN9" s="41" t="e">
        <f>AND(ROARS!B29,"AAAAAH7jnsM=")</f>
        <v>#VALUE!</v>
      </c>
      <c r="GO9" s="41" t="e">
        <f>AND(ROARS!C29,"AAAAAH7jnsQ=")</f>
        <v>#VALUE!</v>
      </c>
      <c r="GP9" s="41" t="e">
        <f>AND(ROARS!D29,"AAAAAH7jnsU=")</f>
        <v>#VALUE!</v>
      </c>
      <c r="GQ9" s="41" t="e">
        <f>AND(ROARS!E29,"AAAAAH7jnsY=")</f>
        <v>#VALUE!</v>
      </c>
      <c r="GR9" s="41" t="e">
        <f>AND(ROARS!F29,"AAAAAH7jnsc=")</f>
        <v>#VALUE!</v>
      </c>
      <c r="GS9" s="41">
        <v>0</v>
      </c>
      <c r="GT9" s="41" t="e">
        <f>AND(ROARS!A30,"AAAAAH7jnsk=")</f>
        <v>#VALUE!</v>
      </c>
      <c r="GU9" s="41" t="e">
        <f>AND(ROARS!B30,"AAAAAH7jnso=")</f>
        <v>#VALUE!</v>
      </c>
      <c r="GV9" s="41" t="e">
        <f>AND(ROARS!C30,"AAAAAH7jnss=")</f>
        <v>#VALUE!</v>
      </c>
      <c r="GW9" s="41" t="e">
        <f>AND(ROARS!D30,"AAAAAH7jnsw=")</f>
        <v>#VALUE!</v>
      </c>
      <c r="GX9" s="41" t="e">
        <f>AND(ROARS!E30,"AAAAAH7jns0=")</f>
        <v>#VALUE!</v>
      </c>
      <c r="GY9" s="41" t="e">
        <f>AND(ROARS!F30,"AAAAAH7jns4=")</f>
        <v>#VALUE!</v>
      </c>
      <c r="GZ9" s="41">
        <v>0</v>
      </c>
      <c r="HA9" s="41" t="e">
        <f>AND(ROARS!A31,"AAAAAH7jntA=")</f>
        <v>#VALUE!</v>
      </c>
      <c r="HB9" s="41" t="e">
        <f>AND(ROARS!B31,"AAAAAH7jntE=")</f>
        <v>#VALUE!</v>
      </c>
      <c r="HC9" s="41" t="e">
        <f>AND(ROARS!C31,"AAAAAH7jntI=")</f>
        <v>#VALUE!</v>
      </c>
      <c r="HD9" s="41" t="e">
        <f>AND(ROARS!D31,"AAAAAH7jntM=")</f>
        <v>#VALUE!</v>
      </c>
      <c r="HE9" s="41" t="e">
        <f>AND(ROARS!E31,"AAAAAH7jntQ=")</f>
        <v>#VALUE!</v>
      </c>
      <c r="HF9" s="41" t="e">
        <f>AND(ROARS!F31,"AAAAAH7jntU=")</f>
        <v>#VALUE!</v>
      </c>
      <c r="HG9" s="41">
        <v>0</v>
      </c>
      <c r="HH9" s="41" t="e">
        <f>AND(ROARS!A32,"AAAAAH7jntc=")</f>
        <v>#VALUE!</v>
      </c>
      <c r="HI9" s="41" t="e">
        <f>AND(ROARS!B32,"AAAAAH7jntg=")</f>
        <v>#VALUE!</v>
      </c>
      <c r="HJ9" s="41" t="e">
        <f>AND(ROARS!C32,"AAAAAH7jntk=")</f>
        <v>#VALUE!</v>
      </c>
      <c r="HK9" s="41" t="e">
        <f>AND(ROARS!D32,"AAAAAH7jnto=")</f>
        <v>#VALUE!</v>
      </c>
      <c r="HL9" s="41" t="e">
        <f>AND(ROARS!E32,"AAAAAH7jnts=")</f>
        <v>#VALUE!</v>
      </c>
      <c r="HM9" s="41" t="e">
        <f>AND(ROARS!F32,"AAAAAH7jntw=")</f>
        <v>#VALUE!</v>
      </c>
      <c r="HN9" s="41">
        <v>0</v>
      </c>
      <c r="HO9" s="41" t="e">
        <f>AND(ROARS!A33,"AAAAAH7jnt4=")</f>
        <v>#VALUE!</v>
      </c>
      <c r="HP9" s="41" t="e">
        <f>AND(ROARS!B33,"AAAAAH7jnt8=")</f>
        <v>#VALUE!</v>
      </c>
      <c r="HQ9" s="41" t="e">
        <f>AND(ROARS!C33,"AAAAAH7jnuA=")</f>
        <v>#VALUE!</v>
      </c>
      <c r="HR9" s="41" t="e">
        <f>AND(ROARS!D33,"AAAAAH7jnuE=")</f>
        <v>#VALUE!</v>
      </c>
      <c r="HS9" s="41" t="e">
        <f>AND(ROARS!E33,"AAAAAH7jnuI=")</f>
        <v>#VALUE!</v>
      </c>
      <c r="HT9" s="41" t="e">
        <f>AND(ROARS!F33,"AAAAAH7jnuM=")</f>
        <v>#VALUE!</v>
      </c>
      <c r="HU9" s="41">
        <v>0</v>
      </c>
      <c r="HV9" s="41" t="e">
        <f>AND(ROARS!A34,"AAAAAH7jnuU=")</f>
        <v>#VALUE!</v>
      </c>
      <c r="HW9" s="41" t="e">
        <f>AND(ROARS!B34,"AAAAAH7jnuY=")</f>
        <v>#VALUE!</v>
      </c>
      <c r="HX9" s="41" t="e">
        <f>AND(ROARS!C34,"AAAAAH7jnuc=")</f>
        <v>#VALUE!</v>
      </c>
      <c r="HY9" s="41" t="e">
        <f>AND(ROARS!D34,"AAAAAH7jnug=")</f>
        <v>#VALUE!</v>
      </c>
      <c r="HZ9" s="41" t="e">
        <f>AND(ROARS!E34,"AAAAAH7jnuk=")</f>
        <v>#VALUE!</v>
      </c>
      <c r="IA9" s="41" t="e">
        <f>AND(ROARS!F34,"AAAAAH7jnuo=")</f>
        <v>#VALUE!</v>
      </c>
      <c r="IB9" s="41">
        <v>0</v>
      </c>
      <c r="IC9" s="41" t="e">
        <f>AND(ROARS!A35,"AAAAAH7jnuw=")</f>
        <v>#VALUE!</v>
      </c>
      <c r="ID9" s="41" t="e">
        <f>AND(ROARS!B35,"AAAAAH7jnu0=")</f>
        <v>#VALUE!</v>
      </c>
      <c r="IE9" s="41" t="e">
        <f>AND(ROARS!C35,"AAAAAH7jnu4=")</f>
        <v>#VALUE!</v>
      </c>
      <c r="IF9" s="41" t="e">
        <f>AND(ROARS!D35,"AAAAAH7jnu8=")</f>
        <v>#VALUE!</v>
      </c>
      <c r="IG9" s="41" t="e">
        <f>AND(ROARS!E35,"AAAAAH7jnvA=")</f>
        <v>#VALUE!</v>
      </c>
      <c r="IH9" s="41" t="e">
        <f>AND(ROARS!F35,"AAAAAH7jnvE=")</f>
        <v>#VALUE!</v>
      </c>
      <c r="II9" s="41">
        <v>0</v>
      </c>
      <c r="IJ9" s="41" t="e">
        <f>AND(ROARS!A36,"AAAAAH7jnvM=")</f>
        <v>#VALUE!</v>
      </c>
      <c r="IK9" s="41" t="e">
        <f>AND(ROARS!B36,"AAAAAH7jnvQ=")</f>
        <v>#VALUE!</v>
      </c>
      <c r="IL9" s="41" t="e">
        <f>AND(ROARS!C36,"AAAAAH7jnvU=")</f>
        <v>#VALUE!</v>
      </c>
      <c r="IM9" s="41" t="e">
        <f>AND(ROARS!D36,"AAAAAH7jnvY=")</f>
        <v>#VALUE!</v>
      </c>
      <c r="IN9" s="41" t="e">
        <f>AND(ROARS!E36,"AAAAAH7jnvc=")</f>
        <v>#VALUE!</v>
      </c>
      <c r="IO9" s="41" t="e">
        <f>AND(ROARS!F36,"AAAAAH7jnvg=")</f>
        <v>#VALUE!</v>
      </c>
      <c r="IP9" s="41">
        <v>0</v>
      </c>
      <c r="IQ9" s="41" t="e">
        <f>AND(ROARS!A37,"AAAAAH7jnvo=")</f>
        <v>#VALUE!</v>
      </c>
      <c r="IR9" s="41" t="e">
        <f>AND(ROARS!B37,"AAAAAH7jnvs=")</f>
        <v>#VALUE!</v>
      </c>
      <c r="IS9" s="41" t="e">
        <f>AND(ROARS!C37,"AAAAAH7jnvw=")</f>
        <v>#VALUE!</v>
      </c>
      <c r="IT9" s="41" t="e">
        <f>AND(ROARS!D37,"AAAAAH7jnv0=")</f>
        <v>#VALUE!</v>
      </c>
      <c r="IU9" s="41" t="e">
        <f>AND(ROARS!E37,"AAAAAH7jnv4=")</f>
        <v>#VALUE!</v>
      </c>
      <c r="IV9" s="41" t="e">
        <f>AND(ROARS!F37,"AAAAAH7jnv8=")</f>
        <v>#VALUE!</v>
      </c>
    </row>
    <row r="10" spans="1:256" x14ac:dyDescent="0.2">
      <c r="A10" s="41">
        <v>0</v>
      </c>
      <c r="B10" s="41" t="e">
        <f>AND(ROARS!A142,"AAAAAH3vVQE=")</f>
        <v>#VALUE!</v>
      </c>
      <c r="C10" s="41" t="e">
        <f>AND(ROARS!B142,"AAAAAH3vVQI=")</f>
        <v>#VALUE!</v>
      </c>
      <c r="D10" s="41" t="e">
        <f>AND(ROARS!C142,"AAAAAH3vVQM=")</f>
        <v>#VALUE!</v>
      </c>
      <c r="E10" s="41" t="e">
        <f>AND(ROARS!D142,"AAAAAH3vVQQ=")</f>
        <v>#VALUE!</v>
      </c>
      <c r="F10" s="41" t="e">
        <f>AND(ROARS!E142,"AAAAAH3vVQU=")</f>
        <v>#VALUE!</v>
      </c>
      <c r="G10" s="41" t="e">
        <f>AND(ROARS!F142,"AAAAAH3vVQY=")</f>
        <v>#VALUE!</v>
      </c>
      <c r="H10" s="41">
        <v>0</v>
      </c>
      <c r="I10" s="41" t="e">
        <f>AND(ROARS!A143,"AAAAAH3vVQg=")</f>
        <v>#VALUE!</v>
      </c>
      <c r="J10" s="41" t="e">
        <f>AND(ROARS!B143,"AAAAAH3vVQk=")</f>
        <v>#VALUE!</v>
      </c>
      <c r="K10" s="41" t="e">
        <f>AND(ROARS!C143,"AAAAAH3vVQo=")</f>
        <v>#VALUE!</v>
      </c>
      <c r="L10" s="41" t="e">
        <f>AND(ROARS!D143,"AAAAAH3vVQs=")</f>
        <v>#VALUE!</v>
      </c>
      <c r="M10" s="41" t="e">
        <f>AND(ROARS!E143,"AAAAAH3vVQw=")</f>
        <v>#VALUE!</v>
      </c>
      <c r="N10" s="41" t="e">
        <f>AND(ROARS!F143,"AAAAAH3vVQ0=")</f>
        <v>#VALUE!</v>
      </c>
      <c r="O10" s="41">
        <v>0</v>
      </c>
      <c r="P10" s="41" t="e">
        <f>AND(ROARS!A144,"AAAAAH3vVQ8=")</f>
        <v>#VALUE!</v>
      </c>
      <c r="Q10" s="41" t="e">
        <f>AND(ROARS!B144,"AAAAAH3vVRA=")</f>
        <v>#VALUE!</v>
      </c>
      <c r="R10" s="41" t="e">
        <f>AND(ROARS!C144,"AAAAAH3vVRE=")</f>
        <v>#VALUE!</v>
      </c>
      <c r="S10" s="41" t="e">
        <f>AND(ROARS!D144,"AAAAAH3vVRI=")</f>
        <v>#VALUE!</v>
      </c>
      <c r="T10" s="41" t="e">
        <f>AND(ROARS!E144,"AAAAAH3vVRM=")</f>
        <v>#VALUE!</v>
      </c>
      <c r="U10" s="41" t="e">
        <f>AND(ROARS!F144,"AAAAAH3vVRQ=")</f>
        <v>#VALUE!</v>
      </c>
      <c r="V10" s="41">
        <v>0</v>
      </c>
      <c r="W10" s="41" t="e">
        <f>AND(ROARS!A145,"AAAAAH3vVRY=")</f>
        <v>#VALUE!</v>
      </c>
      <c r="X10" s="41" t="e">
        <f>AND(ROARS!B145,"AAAAAH3vVRc=")</f>
        <v>#VALUE!</v>
      </c>
      <c r="Y10" s="41" t="e">
        <f>AND(ROARS!C145,"AAAAAH3vVRg=")</f>
        <v>#VALUE!</v>
      </c>
      <c r="Z10" s="41" t="e">
        <f>AND(ROARS!D145,"AAAAAH3vVRk=")</f>
        <v>#VALUE!</v>
      </c>
      <c r="AA10" s="41" t="e">
        <f>AND(ROARS!E145,"AAAAAH3vVRo=")</f>
        <v>#VALUE!</v>
      </c>
      <c r="AB10" s="41" t="e">
        <f>AND(ROARS!#REF!,"AAAAAH3vVRs=")</f>
        <v>#REF!</v>
      </c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29"/>
      <c r="FZ10" s="29"/>
      <c r="GA10" s="29"/>
      <c r="GB10" s="29"/>
      <c r="GC10" s="29"/>
      <c r="GD10" s="29"/>
      <c r="GE10" s="29"/>
      <c r="GF10" s="29"/>
      <c r="GG10" s="29"/>
      <c r="GH10" s="29"/>
      <c r="GI10" s="29"/>
      <c r="GJ10" s="29"/>
      <c r="GK10" s="29"/>
      <c r="GL10" s="29"/>
      <c r="GM10" s="29"/>
      <c r="GN10" s="29"/>
      <c r="GO10" s="29"/>
      <c r="GP10" s="29"/>
      <c r="GQ10" s="29"/>
      <c r="GR10" s="29"/>
      <c r="GS10" s="29"/>
      <c r="GT10" s="29"/>
      <c r="GU10" s="29"/>
      <c r="GV10" s="29"/>
      <c r="GW10" s="29"/>
      <c r="GX10" s="29"/>
      <c r="GY10" s="29"/>
      <c r="GZ10" s="29"/>
      <c r="HA10" s="29"/>
      <c r="HB10" s="29"/>
      <c r="HC10" s="29"/>
      <c r="HD10" s="29"/>
      <c r="HE10" s="29"/>
      <c r="HF10" s="29"/>
      <c r="HG10" s="29"/>
      <c r="HH10" s="29"/>
      <c r="HI10" s="29"/>
      <c r="HJ10" s="29"/>
      <c r="HK10" s="29"/>
      <c r="HL10" s="29"/>
      <c r="HM10" s="29"/>
      <c r="HN10" s="29"/>
      <c r="HO10" s="29"/>
      <c r="HP10" s="29"/>
      <c r="HQ10" s="29"/>
      <c r="HR10" s="29"/>
      <c r="HS10" s="29"/>
      <c r="HT10" s="29"/>
      <c r="HU10" s="29"/>
      <c r="HV10" s="29"/>
      <c r="HW10" s="29"/>
      <c r="HX10" s="29"/>
      <c r="HY10" s="29"/>
      <c r="HZ10" s="29"/>
      <c r="IA10" s="29"/>
      <c r="IB10" s="29"/>
      <c r="IC10" s="29"/>
      <c r="ID10" s="29"/>
      <c r="IE10" s="29"/>
      <c r="IF10" s="29"/>
      <c r="IG10" s="29"/>
      <c r="IH10" s="29"/>
      <c r="II10" s="29"/>
      <c r="IJ10" s="29"/>
      <c r="IK10" s="29"/>
      <c r="IL10" s="29"/>
      <c r="IM10" s="29"/>
      <c r="IN10" s="29"/>
      <c r="IO10" s="29"/>
      <c r="IP10" s="29"/>
      <c r="IQ10" s="29"/>
      <c r="IR10" s="29"/>
      <c r="IS10" s="29"/>
      <c r="IT10" s="29"/>
      <c r="IU10" s="29"/>
      <c r="IV10" s="29"/>
    </row>
    <row r="11" spans="1:256" x14ac:dyDescent="0.2">
      <c r="A11" s="41" t="e">
        <f>AND(Duty!E1,"AAAAAE0fnQA=")</f>
        <v>#VALUE!</v>
      </c>
      <c r="B11" s="41" t="e">
        <f>AND(Duty!E3,"AAAAAE0fnQE=")</f>
        <v>#VALUE!</v>
      </c>
      <c r="C11" s="41" t="e">
        <f>AND(Duty!E4,"AAAAAE0fnQI=")</f>
        <v>#VALUE!</v>
      </c>
      <c r="D11" s="41" t="e">
        <f>AND(Duty!E5,"AAAAAE0fnQM=")</f>
        <v>#VALUE!</v>
      </c>
      <c r="E11" s="41" t="e">
        <f>AND(Duty!E6,"AAAAAE0fnQQ=")</f>
        <v>#VALUE!</v>
      </c>
      <c r="F11" s="41" t="e">
        <f>AND(Duty!E7,"AAAAAE0fnQU=")</f>
        <v>#VALUE!</v>
      </c>
      <c r="G11" s="41" t="e">
        <f>AND(Duty!E8,"AAAAAE0fnQY=")</f>
        <v>#VALUE!</v>
      </c>
      <c r="H11" s="41" t="e">
        <f>AND(Duty!E9,"AAAAAE0fnQc=")</f>
        <v>#VALUE!</v>
      </c>
      <c r="I11" s="41" t="e">
        <f>AND(Duty!E10,"AAAAAE0fnQg=")</f>
        <v>#VALUE!</v>
      </c>
      <c r="J11" s="41" t="e">
        <f>AND(Duty!E11,"AAAAAE0fnQk=")</f>
        <v>#VALUE!</v>
      </c>
      <c r="K11" s="41" t="e">
        <f>AND(Duty!E12,"AAAAAE0fnQo=")</f>
        <v>#VALUE!</v>
      </c>
      <c r="L11" s="41" t="e">
        <f>AND(Duty!E13,"AAAAAE0fnQs=")</f>
        <v>#VALUE!</v>
      </c>
      <c r="M11" s="41" t="e">
        <f>AND(Duty!E14,"AAAAAE0fnQw=")</f>
        <v>#VALUE!</v>
      </c>
      <c r="N11" s="41" t="e">
        <f>AND(Duty!E15,"AAAAAE0fnQ0=")</f>
        <v>#VALUE!</v>
      </c>
      <c r="O11" s="41" t="e">
        <f>AND(Duty!E16,"AAAAAE0fnQ4=")</f>
        <v>#VALUE!</v>
      </c>
      <c r="P11" s="41">
        <v>0</v>
      </c>
      <c r="Q11" s="41" t="e">
        <f>AND(Duty!A18,"AAAAAE0fnRA=")</f>
        <v>#VALUE!</v>
      </c>
      <c r="R11" s="41" t="e">
        <f>AND(Duty!B18,"AAAAAE0fnRE=")</f>
        <v>#VALUE!</v>
      </c>
      <c r="S11" s="41" t="e">
        <f>AND(Duty!C18,"AAAAAE0fnRI=")</f>
        <v>#VALUE!</v>
      </c>
      <c r="T11" s="41" t="e">
        <f>AND(Duty!D18,"AAAAAE0fnRM=")</f>
        <v>#VALUE!</v>
      </c>
      <c r="U11" s="41" t="e">
        <f>AND(Duty!E18,"AAAAAE0fnRQ=")</f>
        <v>#VALUE!</v>
      </c>
      <c r="V11" s="41" t="e">
        <f>AND(Duty!G18,"AAAAAE0fnRU=")</f>
        <v>#VALUE!</v>
      </c>
      <c r="W11" s="41" t="e">
        <f>AND(Duty!H18,"AAAAAE0fnRY=")</f>
        <v>#VALUE!</v>
      </c>
      <c r="X11" s="41" t="e">
        <f>AND(Duty!I18,"AAAAAE0fnRc=")</f>
        <v>#VALUE!</v>
      </c>
      <c r="Y11" s="41" t="e">
        <f>AND(Duty!J18,"AAAAAE0fnRg=")</f>
        <v>#VALUE!</v>
      </c>
      <c r="Z11" s="41" t="e">
        <f>AND(Duty!K18,"AAAAAE0fnRk=")</f>
        <v>#VALUE!</v>
      </c>
      <c r="AA11" s="41" t="e">
        <f>AND(Duty!L18,"AAAAAE0fnRo=")</f>
        <v>#VALUE!</v>
      </c>
      <c r="AB11" s="41" t="e">
        <f>AND(Duty!M18,"AAAAAE0fnRs=")</f>
        <v>#VALUE!</v>
      </c>
      <c r="AC11" s="41" t="e">
        <f>AND(Duty!#REF!,"AAAAAE0fnRw=")</f>
        <v>#REF!</v>
      </c>
      <c r="AD11" s="41" t="e">
        <f>AND(Duty!N18,"AAAAAE0fnR0=")</f>
        <v>#VALUE!</v>
      </c>
      <c r="AE11" s="41" t="e">
        <f>AND(Duty!#REF!,"AAAAAE0fnR4=")</f>
        <v>#REF!</v>
      </c>
      <c r="AF11" s="41" t="e">
        <f>AND(Duty!#REF!,"AAAAAE0fnR8=")</f>
        <v>#REF!</v>
      </c>
      <c r="AG11" s="41" t="e">
        <f>AND(Duty!#REF!,"AAAAAE0fnSA=")</f>
        <v>#REF!</v>
      </c>
      <c r="AH11" s="41" t="e">
        <f>AND(Duty!O18,"AAAAAE0fnSE=")</f>
        <v>#VALUE!</v>
      </c>
      <c r="AI11" s="41" t="e">
        <f>AND(Duty!E19,"AAAAAE0fnSI=")</f>
        <v>#VALUE!</v>
      </c>
      <c r="AJ11" s="41" t="e">
        <f>AND(Duty!E20,"AAAAAE0fnSM=")</f>
        <v>#VALUE!</v>
      </c>
      <c r="AK11" s="41" t="e">
        <f>AND(Duty!E21,"AAAAAE0fnSQ=")</f>
        <v>#VALUE!</v>
      </c>
      <c r="AL11" s="41" t="e">
        <f>AND(Duty!E22,"AAAAAE0fnSU=")</f>
        <v>#VALUE!</v>
      </c>
      <c r="AM11" s="41" t="e">
        <f>AND(Duty!E23,"AAAAAE0fnSY=")</f>
        <v>#VALUE!</v>
      </c>
      <c r="AN11" s="41" t="e">
        <f>AND(Duty!E24,"AAAAAE0fnSc=")</f>
        <v>#VALUE!</v>
      </c>
      <c r="AO11" s="41" t="e">
        <f>AND(Duty!E25,"AAAAAE0fnSg=")</f>
        <v>#VALUE!</v>
      </c>
      <c r="AP11" s="41" t="e">
        <f>AND(Duty!E26,"AAAAAE0fnSk=")</f>
        <v>#VALUE!</v>
      </c>
      <c r="AQ11" s="41" t="e">
        <f>AND(Duty!E27,"AAAAAE0fnSo=")</f>
        <v>#VALUE!</v>
      </c>
      <c r="AR11" s="41" t="e">
        <f>AND(Duty!E28,"AAAAAE0fnSs=")</f>
        <v>#VALUE!</v>
      </c>
      <c r="AS11" s="41" t="e">
        <f>AND(Duty!E29,"AAAAAE0fnSw=")</f>
        <v>#VALUE!</v>
      </c>
      <c r="AT11" s="41" t="e">
        <f>AND(Duty!E30,"AAAAAE0fnS0=")</f>
        <v>#VALUE!</v>
      </c>
      <c r="AU11" s="41">
        <v>0</v>
      </c>
      <c r="AV11" s="41" t="e">
        <f>AND(Duty!A31,"AAAAAE0fnS8=")</f>
        <v>#VALUE!</v>
      </c>
      <c r="AW11" s="41" t="e">
        <f>AND(Duty!B31,"AAAAAE0fnTA=")</f>
        <v>#VALUE!</v>
      </c>
      <c r="AX11" s="41" t="e">
        <f>AND(Duty!C31,"AAAAAE0fnTE=")</f>
        <v>#VALUE!</v>
      </c>
      <c r="AY11" s="41" t="e">
        <f>AND(Duty!D31,"AAAAAE0fnTI=")</f>
        <v>#VALUE!</v>
      </c>
      <c r="AZ11" s="41" t="e">
        <f>AND(Duty!E31,"AAAAAE0fnTM=")</f>
        <v>#VALUE!</v>
      </c>
      <c r="BA11" s="41" t="e">
        <f>AND(Duty!G31,"AAAAAE0fnTQ=")</f>
        <v>#VALUE!</v>
      </c>
      <c r="BB11" s="41" t="e">
        <f>AND(Duty!H31,"AAAAAE0fnTU=")</f>
        <v>#VALUE!</v>
      </c>
      <c r="BC11" s="41" t="e">
        <f>AND(Duty!I31,"AAAAAE0fnTY=")</f>
        <v>#VALUE!</v>
      </c>
      <c r="BD11" s="41" t="e">
        <f>AND(Duty!J31,"AAAAAE0fnTc=")</f>
        <v>#VALUE!</v>
      </c>
      <c r="BE11" s="41" t="e">
        <f>AND(Duty!K31,"AAAAAE0fnTg=")</f>
        <v>#VALUE!</v>
      </c>
      <c r="BF11" s="41" t="e">
        <f>AND(Duty!L31,"AAAAAE0fnTk=")</f>
        <v>#VALUE!</v>
      </c>
      <c r="BG11" s="41" t="e">
        <f>AND(Duty!M31,"AAAAAE0fnTo=")</f>
        <v>#VALUE!</v>
      </c>
      <c r="BH11" s="41" t="e">
        <f>AND(Duty!#REF!,"AAAAAE0fnTs=")</f>
        <v>#REF!</v>
      </c>
      <c r="BI11" s="41" t="e">
        <f>AND(Duty!N31,"AAAAAE0fnTw=")</f>
        <v>#VALUE!</v>
      </c>
      <c r="BJ11" s="41" t="e">
        <f>AND(Duty!#REF!,"AAAAAE0fnT0=")</f>
        <v>#REF!</v>
      </c>
      <c r="BK11" s="41" t="e">
        <f>AND(Duty!#REF!,"AAAAAE0fnT4=")</f>
        <v>#REF!</v>
      </c>
      <c r="BL11" s="41" t="e">
        <f>AND(Duty!#REF!,"AAAAAE0fnT8=")</f>
        <v>#REF!</v>
      </c>
      <c r="BM11" s="41" t="e">
        <f>AND(Duty!O31,"AAAAAE0fnUA=")</f>
        <v>#VALUE!</v>
      </c>
      <c r="BN11" s="41">
        <v>0</v>
      </c>
      <c r="BO11" s="41" t="e">
        <f>AND(Duty!A32,"AAAAAE0fnUI=")</f>
        <v>#VALUE!</v>
      </c>
      <c r="BP11" s="41" t="e">
        <f>AND(Duty!B32,"AAAAAE0fnUM=")</f>
        <v>#VALUE!</v>
      </c>
      <c r="BQ11" s="41" t="e">
        <f>AND(Duty!C32,"AAAAAE0fnUQ=")</f>
        <v>#VALUE!</v>
      </c>
      <c r="BR11" s="41" t="e">
        <f>AND(Duty!D32,"AAAAAE0fnUU=")</f>
        <v>#VALUE!</v>
      </c>
      <c r="BS11" s="41" t="e">
        <f>AND(Duty!E32,"AAAAAE0fnUY=")</f>
        <v>#VALUE!</v>
      </c>
      <c r="BT11" s="41" t="e">
        <f>AND(Duty!G32,"AAAAAE0fnUc=")</f>
        <v>#VALUE!</v>
      </c>
      <c r="BU11" s="41" t="e">
        <f>AND(Duty!H32,"AAAAAE0fnUg=")</f>
        <v>#VALUE!</v>
      </c>
      <c r="BV11" s="41" t="e">
        <f>AND(Duty!I32,"AAAAAE0fnUk=")</f>
        <v>#VALUE!</v>
      </c>
      <c r="BW11" s="41" t="e">
        <f>AND(Duty!J32,"AAAAAE0fnUo=")</f>
        <v>#VALUE!</v>
      </c>
      <c r="BX11" s="41" t="e">
        <f>AND(Duty!K32,"AAAAAE0fnUs=")</f>
        <v>#VALUE!</v>
      </c>
      <c r="BY11" s="41" t="e">
        <f>AND(Duty!L32,"AAAAAE0fnUw=")</f>
        <v>#VALUE!</v>
      </c>
      <c r="BZ11" s="41" t="e">
        <f>AND(Duty!M32,"AAAAAE0fnU0=")</f>
        <v>#VALUE!</v>
      </c>
      <c r="CA11" s="41" t="e">
        <f>AND(Duty!#REF!,"AAAAAE0fnU4=")</f>
        <v>#REF!</v>
      </c>
      <c r="CB11" s="41" t="e">
        <f>AND(Duty!N32,"AAAAAE0fnU8=")</f>
        <v>#VALUE!</v>
      </c>
      <c r="CC11" s="41" t="e">
        <f>AND(Duty!#REF!,"AAAAAE0fnVA=")</f>
        <v>#REF!</v>
      </c>
      <c r="CD11" s="41" t="e">
        <f>AND(Duty!#REF!,"AAAAAE0fnVE=")</f>
        <v>#REF!</v>
      </c>
      <c r="CE11" s="41" t="e">
        <f>AND(Duty!#REF!,"AAAAAE0fnVI=")</f>
        <v>#REF!</v>
      </c>
      <c r="CF11" s="41" t="e">
        <f>AND(Duty!O32,"AAAAAE0fnVM=")</f>
        <v>#VALUE!</v>
      </c>
      <c r="CG11" s="41" t="e">
        <f>AND(Duty!E33,"AAAAAE0fnVQ=")</f>
        <v>#VALUE!</v>
      </c>
      <c r="CH11" s="41" t="e">
        <f>AND(Duty!E34,"AAAAAE0fnVU=")</f>
        <v>#VALUE!</v>
      </c>
      <c r="CI11" s="41" t="e">
        <f>AND(Duty!E35,"AAAAAE0fnVY=")</f>
        <v>#VALUE!</v>
      </c>
      <c r="CJ11" s="41" t="e">
        <f>AND(Duty!D37,"AAAAAE0fnVc=")</f>
        <v>#VALUE!</v>
      </c>
      <c r="CK11" s="41" t="e">
        <f>AND(Duty!E37,"AAAAAE0fnVg=")</f>
        <v>#VALUE!</v>
      </c>
      <c r="CL11" s="41" t="e">
        <f>AND(Duty!D38,"AAAAAE0fnVk=")</f>
        <v>#VALUE!</v>
      </c>
      <c r="CM11" s="41" t="e">
        <f>AND(Duty!E38,"AAAAAE0fnVo=")</f>
        <v>#VALUE!</v>
      </c>
      <c r="CN11" s="41" t="e">
        <f>AND(Duty!D39,"AAAAAE0fnVs=")</f>
        <v>#VALUE!</v>
      </c>
      <c r="CO11" s="41" t="e">
        <f>AND(Duty!E39,"AAAAAE0fnVw=")</f>
        <v>#VALUE!</v>
      </c>
      <c r="CP11" s="41" t="e">
        <f>AND(Duty!D40,"AAAAAE0fnV0=")</f>
        <v>#VALUE!</v>
      </c>
      <c r="CQ11" s="41" t="e">
        <f>AND(Duty!E40,"AAAAAE0fnV4=")</f>
        <v>#VALUE!</v>
      </c>
      <c r="CR11" s="41" t="e">
        <f>AND(Duty!D41,"AAAAAE0fnV8=")</f>
        <v>#VALUE!</v>
      </c>
      <c r="CS11" s="41" t="e">
        <f>AND(Duty!E41,"AAAAAE0fnWA=")</f>
        <v>#VALUE!</v>
      </c>
      <c r="CT11" s="41" t="e">
        <f>AND(Duty!D42,"AAAAAE0fnWE=")</f>
        <v>#VALUE!</v>
      </c>
      <c r="CU11" s="41" t="e">
        <f>AND(Duty!E42,"AAAAAE0fnWI=")</f>
        <v>#VALUE!</v>
      </c>
      <c r="CV11" s="41" t="e">
        <f>AND(Duty!E36,"AAAAAE0fnWM=")</f>
        <v>#VALUE!</v>
      </c>
      <c r="CW11" s="41" t="s">
        <v>123</v>
      </c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29"/>
      <c r="EW11" s="29"/>
      <c r="EX11" s="29"/>
      <c r="EY11" s="29"/>
      <c r="EZ11" s="29"/>
      <c r="FA11" s="29"/>
      <c r="FB11" s="29"/>
      <c r="FC11" s="29"/>
      <c r="FD11" s="29"/>
      <c r="FE11" s="29"/>
      <c r="FF11" s="29"/>
      <c r="FG11" s="29"/>
      <c r="FH11" s="29"/>
      <c r="FI11" s="29"/>
      <c r="FJ11" s="29"/>
      <c r="FK11" s="29"/>
      <c r="FL11" s="29"/>
      <c r="FM11" s="29"/>
      <c r="FN11" s="29"/>
      <c r="FO11" s="29"/>
      <c r="FP11" s="29"/>
      <c r="FQ11" s="29"/>
      <c r="FR11" s="29"/>
      <c r="FS11" s="29"/>
      <c r="FT11" s="29"/>
      <c r="FU11" s="29"/>
      <c r="FV11" s="29"/>
      <c r="FW11" s="29"/>
      <c r="FX11" s="29"/>
      <c r="FY11" s="29"/>
      <c r="FZ11" s="29"/>
      <c r="GA11" s="29"/>
      <c r="GB11" s="29"/>
      <c r="GC11" s="29"/>
      <c r="GD11" s="29"/>
      <c r="GE11" s="29"/>
      <c r="GF11" s="29"/>
      <c r="GG11" s="29"/>
      <c r="GH11" s="29"/>
      <c r="GI11" s="29"/>
      <c r="GJ11" s="29"/>
      <c r="GK11" s="29"/>
      <c r="GL11" s="29"/>
      <c r="GM11" s="29"/>
      <c r="GN11" s="29"/>
      <c r="GO11" s="29"/>
      <c r="GP11" s="29"/>
      <c r="GQ11" s="29"/>
      <c r="GR11" s="29"/>
      <c r="GS11" s="29"/>
      <c r="GT11" s="29"/>
      <c r="GU11" s="29"/>
      <c r="GV11" s="29"/>
      <c r="GW11" s="29"/>
      <c r="GX11" s="29"/>
      <c r="GY11" s="29"/>
      <c r="GZ11" s="29"/>
      <c r="HA11" s="29"/>
      <c r="HB11" s="29"/>
      <c r="HC11" s="29"/>
      <c r="HD11" s="29"/>
      <c r="HE11" s="29"/>
      <c r="HF11" s="29"/>
      <c r="HG11" s="29"/>
      <c r="HH11" s="29"/>
      <c r="HI11" s="29"/>
      <c r="HJ11" s="29"/>
      <c r="HK11" s="29"/>
      <c r="HL11" s="29"/>
      <c r="HM11" s="29"/>
      <c r="HN11" s="29"/>
      <c r="HO11" s="29"/>
      <c r="HP11" s="29"/>
      <c r="HQ11" s="29"/>
      <c r="HR11" s="29"/>
      <c r="HS11" s="29"/>
      <c r="HT11" s="29"/>
      <c r="HU11" s="29"/>
      <c r="HV11" s="29"/>
      <c r="HW11" s="29"/>
      <c r="HX11" s="29"/>
      <c r="HY11" s="29"/>
      <c r="HZ11" s="29"/>
      <c r="IA11" s="29"/>
      <c r="IB11" s="29"/>
      <c r="IC11" s="29"/>
      <c r="ID11" s="29"/>
      <c r="IE11" s="29"/>
      <c r="IF11" s="29"/>
      <c r="IG11" s="29"/>
      <c r="IH11" s="29"/>
      <c r="II11" s="29"/>
      <c r="IJ11" s="29"/>
      <c r="IK11" s="29"/>
      <c r="IL11" s="29"/>
      <c r="IM11" s="29"/>
      <c r="IN11" s="29"/>
      <c r="IO11" s="29"/>
      <c r="IP11" s="29"/>
      <c r="IQ11" s="29"/>
      <c r="IR11" s="29"/>
      <c r="IS11" s="29"/>
      <c r="IT11" s="29"/>
      <c r="IU11" s="29"/>
      <c r="IV11" s="29"/>
    </row>
    <row r="12" spans="1:256" x14ac:dyDescent="0.2">
      <c r="A12" s="41" t="e">
        <f>AND(Duty!O4,"AAAAAH/6fwA=")</f>
        <v>#VALUE!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29"/>
      <c r="FN12" s="29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29"/>
      <c r="FZ12" s="29"/>
      <c r="GA12" s="29"/>
      <c r="GB12" s="29"/>
      <c r="GC12" s="29"/>
      <c r="GD12" s="29"/>
      <c r="GE12" s="29"/>
      <c r="GF12" s="29"/>
      <c r="GG12" s="29"/>
      <c r="GH12" s="29"/>
      <c r="GI12" s="29"/>
      <c r="GJ12" s="29"/>
      <c r="GK12" s="29"/>
      <c r="GL12" s="29"/>
      <c r="GM12" s="29"/>
      <c r="GN12" s="29"/>
      <c r="GO12" s="29"/>
      <c r="GP12" s="29"/>
      <c r="GQ12" s="29"/>
      <c r="GR12" s="29"/>
      <c r="GS12" s="29"/>
      <c r="GT12" s="29"/>
      <c r="GU12" s="29"/>
      <c r="GV12" s="29"/>
      <c r="GW12" s="29"/>
      <c r="GX12" s="29"/>
      <c r="GY12" s="29"/>
      <c r="GZ12" s="29"/>
      <c r="HA12" s="29"/>
      <c r="HB12" s="29"/>
      <c r="HC12" s="29"/>
      <c r="HD12" s="29"/>
      <c r="HE12" s="29"/>
      <c r="HF12" s="29"/>
      <c r="HG12" s="29"/>
      <c r="HH12" s="29"/>
      <c r="HI12" s="29"/>
      <c r="HJ12" s="29"/>
      <c r="HK12" s="29"/>
      <c r="HL12" s="29"/>
      <c r="HM12" s="29"/>
      <c r="HN12" s="29"/>
      <c r="HO12" s="29"/>
      <c r="HP12" s="29"/>
      <c r="HQ12" s="29"/>
      <c r="HR12" s="29"/>
      <c r="HS12" s="29"/>
      <c r="HT12" s="29"/>
      <c r="HU12" s="29"/>
      <c r="HV12" s="29"/>
      <c r="HW12" s="29"/>
      <c r="HX12" s="29"/>
      <c r="HY12" s="29"/>
      <c r="HZ12" s="29"/>
      <c r="IA12" s="29"/>
      <c r="IB12" s="29"/>
      <c r="IC12" s="29"/>
      <c r="ID12" s="29"/>
      <c r="IE12" s="29"/>
      <c r="IF12" s="29"/>
      <c r="IG12" s="29"/>
      <c r="IH12" s="29"/>
      <c r="II12" s="29"/>
      <c r="IJ12" s="29"/>
      <c r="IK12" s="29"/>
      <c r="IL12" s="29"/>
      <c r="IM12" s="29"/>
      <c r="IN12" s="29"/>
      <c r="IO12" s="29"/>
      <c r="IP12" s="29"/>
      <c r="IQ12" s="29"/>
      <c r="IR12" s="29"/>
      <c r="IS12" s="29"/>
      <c r="IT12" s="29"/>
      <c r="IU12" s="29"/>
      <c r="IV12" s="29"/>
    </row>
    <row r="13" spans="1:256" x14ac:dyDescent="0.2">
      <c r="A13" s="41" t="e">
        <f>AND(ROARS!I1,"AAAAAHv/DQA=")</f>
        <v>#VALUE!</v>
      </c>
      <c r="B13" s="41" t="e">
        <f>AND(ROARS!J1,"AAAAAHv/DQE=")</f>
        <v>#VALUE!</v>
      </c>
      <c r="C13" s="41" t="e">
        <f>AND(ROARS!I2,"AAAAAHv/DQI=")</f>
        <v>#VALUE!</v>
      </c>
      <c r="D13" s="41" t="e">
        <f>AND(ROARS!J2,"AAAAAHv/DQM=")</f>
        <v>#VALUE!</v>
      </c>
      <c r="E13" s="41" t="e">
        <f>AND(ROARS!I3,"AAAAAHv/DQQ=")</f>
        <v>#VALUE!</v>
      </c>
      <c r="F13" s="41" t="e">
        <f>AND(ROARS!J3,"AAAAAHv/DQU=")</f>
        <v>#VALUE!</v>
      </c>
      <c r="G13" s="41" t="e">
        <f>AND(ROARS!I4,"AAAAAHv/DQY=")</f>
        <v>#VALUE!</v>
      </c>
      <c r="H13" s="41" t="e">
        <f>AND(ROARS!J4,"AAAAAHv/DQc=")</f>
        <v>#VALUE!</v>
      </c>
      <c r="I13" s="41" t="e">
        <f>AND(ROARS!I5,"AAAAAHv/DQg=")</f>
        <v>#VALUE!</v>
      </c>
      <c r="J13" s="41" t="e">
        <f>AND(ROARS!J5,"AAAAAHv/DQk=")</f>
        <v>#VALUE!</v>
      </c>
      <c r="K13" s="41" t="e">
        <f>AND(ROARS!I6,"AAAAAHv/DQo=")</f>
        <v>#VALUE!</v>
      </c>
      <c r="L13" s="41" t="e">
        <f>AND(ROARS!J6,"AAAAAHv/DQs=")</f>
        <v>#VALUE!</v>
      </c>
      <c r="M13" s="41" t="e">
        <f>AND(ROARS!I7,"AAAAAHv/DQw=")</f>
        <v>#VALUE!</v>
      </c>
      <c r="N13" s="41" t="e">
        <f>AND(ROARS!J7,"AAAAAHv/DQ0=")</f>
        <v>#VALUE!</v>
      </c>
      <c r="O13" s="41" t="e">
        <f>AND(ROARS!I8,"AAAAAHv/DQ4=")</f>
        <v>#VALUE!</v>
      </c>
      <c r="P13" s="41" t="e">
        <f>AND(ROARS!J8,"AAAAAHv/DQ8=")</f>
        <v>#VALUE!</v>
      </c>
      <c r="Q13" s="41" t="e">
        <f>AND(ROARS!I9,"AAAAAHv/DRA=")</f>
        <v>#VALUE!</v>
      </c>
      <c r="R13" s="41" t="e">
        <f>AND(ROARS!J9,"AAAAAHv/DRE=")</f>
        <v>#VALUE!</v>
      </c>
      <c r="S13" s="41" t="e">
        <f>AND(ROARS!I10,"AAAAAHv/DRI=")</f>
        <v>#VALUE!</v>
      </c>
      <c r="T13" s="41" t="e">
        <f>AND(ROARS!J10,"AAAAAHv/DRM=")</f>
        <v>#VALUE!</v>
      </c>
      <c r="U13" s="41" t="e">
        <f>AND(ROARS!I11,"AAAAAHv/DRQ=")</f>
        <v>#VALUE!</v>
      </c>
      <c r="V13" s="41" t="e">
        <f>AND(ROARS!J11,"AAAAAHv/DRU=")</f>
        <v>#VALUE!</v>
      </c>
      <c r="W13" s="41" t="e">
        <f>AND(ROARS!I12,"AAAAAHv/DRY=")</f>
        <v>#VALUE!</v>
      </c>
      <c r="X13" s="41" t="e">
        <f>AND(ROARS!J12,"AAAAAHv/DRc=")</f>
        <v>#VALUE!</v>
      </c>
      <c r="Y13" s="41" t="e">
        <f>AND('RC expenses'!E19,"AAAAAHv/DRg=")</f>
        <v>#VALUE!</v>
      </c>
      <c r="Z13" s="41" t="e">
        <f>AND('RC expenses'!F19,"AAAAAHv/DRk=")</f>
        <v>#VALUE!</v>
      </c>
      <c r="AA13" s="41" t="e">
        <f>AND('RC expenses'!G19,"AAAAAHv/DRo=")</f>
        <v>#VALUE!</v>
      </c>
      <c r="AB13" s="41" t="e">
        <f>AND('RC expenses'!H19,"AAAAAHv/DRs=")</f>
        <v>#VALUE!</v>
      </c>
      <c r="AC13" s="41" t="e">
        <f>AND('RC expenses'!E20,"AAAAAHv/DRw=")</f>
        <v>#VALUE!</v>
      </c>
      <c r="AD13" s="41" t="e">
        <f>AND('RC expenses'!F20,"AAAAAHv/DR0=")</f>
        <v>#VALUE!</v>
      </c>
      <c r="AE13" s="41" t="e">
        <f>AND('RC expenses'!G20,"AAAAAHv/DR4=")</f>
        <v>#VALUE!</v>
      </c>
      <c r="AF13" s="41" t="e">
        <f>AND('RC expenses'!H20,"AAAAAHv/DR8=")</f>
        <v>#VALUE!</v>
      </c>
      <c r="AG13" s="41" t="e">
        <f>AND('RC expenses'!#REF!,"AAAAAHv/DSA=")</f>
        <v>#REF!</v>
      </c>
      <c r="AH13" s="41" t="e">
        <f>AND('RC expenses'!#REF!,"AAAAAHv/DSE=")</f>
        <v>#REF!</v>
      </c>
      <c r="AI13" s="41" t="e">
        <f>AND('RC expenses'!#REF!,"AAAAAHv/DSI=")</f>
        <v>#REF!</v>
      </c>
      <c r="AJ13" s="41" t="e">
        <f>AND('RC expenses'!#REF!,"AAAAAHv/DSM=")</f>
        <v>#REF!</v>
      </c>
      <c r="AK13" s="41" t="e">
        <f>AND('RC expenses'!E22,"AAAAAHv/DSQ=")</f>
        <v>#VALUE!</v>
      </c>
      <c r="AL13" s="41" t="e">
        <f>AND('RC expenses'!F22,"AAAAAHv/DSU=")</f>
        <v>#VALUE!</v>
      </c>
      <c r="AM13" s="41" t="e">
        <f>AND('RC expenses'!G22,"AAAAAHv/DSY=")</f>
        <v>#VALUE!</v>
      </c>
      <c r="AN13" s="41" t="e">
        <f>AND('RC expenses'!H22,"AAAAAHv/DSc=")</f>
        <v>#VALUE!</v>
      </c>
      <c r="AO13" s="41" t="e">
        <f>AND('RC expenses'!E21,"AAAAAHv/DSg=")</f>
        <v>#VALUE!</v>
      </c>
      <c r="AP13" s="41" t="e">
        <f>AND('RC expenses'!F21,"AAAAAHv/DSk=")</f>
        <v>#VALUE!</v>
      </c>
      <c r="AQ13" s="41" t="e">
        <f>AND('RC expenses'!G21,"AAAAAHv/DSo=")</f>
        <v>#VALUE!</v>
      </c>
      <c r="AR13" s="41" t="e">
        <f>AND('RC expenses'!H21,"AAAAAHv/DSs=")</f>
        <v>#VALUE!</v>
      </c>
      <c r="AS13" s="41" t="e">
        <f>AND('RC expenses'!E24,"AAAAAHv/DSw=")</f>
        <v>#VALUE!</v>
      </c>
      <c r="AT13" s="41" t="e">
        <f>AND('RC expenses'!F24,"AAAAAHv/DS0=")</f>
        <v>#VALUE!</v>
      </c>
      <c r="AU13" s="41" t="e">
        <f>AND('RC expenses'!G24,"AAAAAHv/DS4=")</f>
        <v>#VALUE!</v>
      </c>
      <c r="AV13" s="41" t="e">
        <f>AND('RC expenses'!H24,"AAAAAHv/DS8=")</f>
        <v>#VALUE!</v>
      </c>
      <c r="AW13" s="41" t="e">
        <f>AND('RC expenses'!E25,"AAAAAHv/DTA=")</f>
        <v>#VALUE!</v>
      </c>
      <c r="AX13" s="41" t="e">
        <f>AND('RC expenses'!F25,"AAAAAHv/DTE=")</f>
        <v>#VALUE!</v>
      </c>
      <c r="AY13" s="41" t="e">
        <f>AND('RC expenses'!G25,"AAAAAHv/DTI=")</f>
        <v>#VALUE!</v>
      </c>
      <c r="AZ13" s="41" t="e">
        <f>AND('RC expenses'!H25,"AAAAAHv/DTM=")</f>
        <v>#VALUE!</v>
      </c>
      <c r="BA13" s="41" t="e">
        <f>AND('RC expenses'!E26,"AAAAAHv/DTQ=")</f>
        <v>#VALUE!</v>
      </c>
      <c r="BB13" s="41" t="e">
        <f>AND('RC expenses'!F26,"AAAAAHv/DTU=")</f>
        <v>#VALUE!</v>
      </c>
      <c r="BC13" s="41" t="e">
        <f>AND('RC expenses'!G26,"AAAAAHv/DTY=")</f>
        <v>#VALUE!</v>
      </c>
      <c r="BD13" s="41" t="e">
        <f>AND('RC expenses'!H26,"AAAAAHv/DTc=")</f>
        <v>#VALUE!</v>
      </c>
      <c r="BE13" s="41" t="e">
        <f>AND('RC expenses'!E27,"AAAAAHv/DTg=")</f>
        <v>#VALUE!</v>
      </c>
      <c r="BF13" s="41" t="e">
        <f>AND('RC expenses'!F27,"AAAAAHv/DTk=")</f>
        <v>#VALUE!</v>
      </c>
      <c r="BG13" s="41" t="e">
        <f>AND('RC expenses'!G27,"AAAAAHv/DTo=")</f>
        <v>#VALUE!</v>
      </c>
      <c r="BH13" s="41" t="e">
        <f>AND('RC expenses'!H27,"AAAAAHv/DTs=")</f>
        <v>#VALUE!</v>
      </c>
      <c r="BI13" s="41" t="e">
        <f>AND('RC expenses'!E28,"AAAAAHv/DTw=")</f>
        <v>#VALUE!</v>
      </c>
      <c r="BJ13" s="41" t="e">
        <f>AND('RC expenses'!F28,"AAAAAHv/DT0=")</f>
        <v>#VALUE!</v>
      </c>
      <c r="BK13" s="41" t="e">
        <f>AND('RC expenses'!G28,"AAAAAHv/DT4=")</f>
        <v>#VALUE!</v>
      </c>
      <c r="BL13" s="41" t="e">
        <f>AND('RC expenses'!H28,"AAAAAHv/DT8=")</f>
        <v>#VALUE!</v>
      </c>
      <c r="BM13" s="41" t="e">
        <f>AND('RC expenses'!E29,"AAAAAHv/DUA=")</f>
        <v>#VALUE!</v>
      </c>
      <c r="BN13" s="41" t="e">
        <f>AND('RC expenses'!F29,"AAAAAHv/DUE=")</f>
        <v>#VALUE!</v>
      </c>
      <c r="BO13" s="41" t="e">
        <f>AND('RC expenses'!G29,"AAAAAHv/DUI=")</f>
        <v>#VALUE!</v>
      </c>
      <c r="BP13" s="41" t="e">
        <f>AND('RC expenses'!H29,"AAAAAHv/DUM=")</f>
        <v>#VALUE!</v>
      </c>
      <c r="BQ13" s="41" t="e">
        <f>AND('RC expenses'!E30,"AAAAAHv/DUQ=")</f>
        <v>#VALUE!</v>
      </c>
      <c r="BR13" s="41" t="e">
        <f>AND('RC expenses'!F30,"AAAAAHv/DUU=")</f>
        <v>#VALUE!</v>
      </c>
      <c r="BS13" s="41" t="e">
        <f>AND('RC expenses'!G30,"AAAAAHv/DUY=")</f>
        <v>#VALUE!</v>
      </c>
      <c r="BT13" s="41" t="e">
        <f>AND('RC expenses'!H30,"AAAAAHv/DUc=")</f>
        <v>#VALUE!</v>
      </c>
      <c r="BU13" s="41">
        <v>0</v>
      </c>
      <c r="BV13" s="41">
        <v>0</v>
      </c>
      <c r="BW13" s="41" t="e">
        <f>AND('Declaration Form'!A1,"AAAAAHv/DUo=")</f>
        <v>#VALUE!</v>
      </c>
      <c r="BX13" s="41" t="e">
        <f>AND('Declaration Form'!B1,"AAAAAHv/DUs=")</f>
        <v>#VALUE!</v>
      </c>
      <c r="BY13" s="41" t="e">
        <f>AND('Declaration Form'!C1,"AAAAAHv/DUw=")</f>
        <v>#VALUE!</v>
      </c>
      <c r="BZ13" s="41" t="e">
        <f>AND('Declaration Form'!D1,"AAAAAHv/DU0=")</f>
        <v>#VALUE!</v>
      </c>
      <c r="CA13" s="41" t="e">
        <f>AND('Declaration Form'!E1,"AAAAAHv/DU4=")</f>
        <v>#VALUE!</v>
      </c>
      <c r="CB13" s="41" t="e">
        <f>AND('Declaration Form'!F1,"AAAAAHv/DU8=")</f>
        <v>#VALUE!</v>
      </c>
      <c r="CC13" s="41" t="e">
        <f>AND('Declaration Form'!G1,"AAAAAHv/DVA=")</f>
        <v>#VALUE!</v>
      </c>
      <c r="CD13" s="41">
        <v>0</v>
      </c>
      <c r="CE13" s="41" t="e">
        <f>AND('Declaration Form'!A2,"AAAAAHv/DVI=")</f>
        <v>#VALUE!</v>
      </c>
      <c r="CF13" s="41" t="e">
        <f>AND('Declaration Form'!B2,"AAAAAHv/DVM=")</f>
        <v>#VALUE!</v>
      </c>
      <c r="CG13" s="41" t="e">
        <f>AND('Declaration Form'!C2,"AAAAAHv/DVQ=")</f>
        <v>#VALUE!</v>
      </c>
      <c r="CH13" s="41" t="e">
        <f>AND('Declaration Form'!D2,"AAAAAHv/DVU=")</f>
        <v>#VALUE!</v>
      </c>
      <c r="CI13" s="41" t="e">
        <f>AND('Declaration Form'!E2,"AAAAAHv/DVY=")</f>
        <v>#VALUE!</v>
      </c>
      <c r="CJ13" s="41" t="e">
        <f>AND('Declaration Form'!F2,"AAAAAHv/DVc=")</f>
        <v>#VALUE!</v>
      </c>
      <c r="CK13" s="41" t="e">
        <f>AND('Declaration Form'!G2,"AAAAAHv/DVg=")</f>
        <v>#VALUE!</v>
      </c>
      <c r="CL13" s="41">
        <v>0</v>
      </c>
      <c r="CM13" s="41">
        <v>0</v>
      </c>
      <c r="CN13" s="41">
        <v>0</v>
      </c>
      <c r="CO13" s="41">
        <v>0</v>
      </c>
      <c r="CP13" s="41">
        <v>0</v>
      </c>
      <c r="CQ13" s="41">
        <v>0</v>
      </c>
      <c r="CR13" s="41">
        <v>0</v>
      </c>
      <c r="CS13" s="41">
        <v>0</v>
      </c>
      <c r="CT13" s="41" t="e">
        <f>AND('Race Kit'!A1,"AAAAAHv/DWE=")</f>
        <v>#VALUE!</v>
      </c>
      <c r="CU13" s="41" t="s">
        <v>123</v>
      </c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29"/>
      <c r="FB13" s="29"/>
      <c r="FC13" s="29"/>
      <c r="FD13" s="29"/>
      <c r="FE13" s="29"/>
      <c r="FF13" s="29"/>
      <c r="FG13" s="29"/>
      <c r="FH13" s="29"/>
      <c r="FI13" s="29"/>
      <c r="FJ13" s="29"/>
      <c r="FK13" s="29"/>
      <c r="FL13" s="29"/>
      <c r="FM13" s="29"/>
      <c r="FN13" s="29"/>
      <c r="FO13" s="29"/>
      <c r="FP13" s="29"/>
      <c r="FQ13" s="29"/>
      <c r="FR13" s="29"/>
      <c r="FS13" s="29"/>
      <c r="FT13" s="29"/>
      <c r="FU13" s="29"/>
      <c r="FV13" s="29"/>
      <c r="FW13" s="29"/>
      <c r="FX13" s="29"/>
      <c r="FY13" s="29"/>
      <c r="FZ13" s="29"/>
      <c r="GA13" s="29"/>
      <c r="GB13" s="29"/>
      <c r="GC13" s="29"/>
      <c r="GD13" s="29"/>
      <c r="GE13" s="29"/>
      <c r="GF13" s="29"/>
      <c r="GG13" s="29"/>
      <c r="GH13" s="29"/>
      <c r="GI13" s="29"/>
      <c r="GJ13" s="29"/>
      <c r="GK13" s="29"/>
      <c r="GL13" s="29"/>
      <c r="GM13" s="29"/>
      <c r="GN13" s="29"/>
      <c r="GO13" s="29"/>
      <c r="GP13" s="29"/>
      <c r="GQ13" s="29"/>
      <c r="GR13" s="29"/>
      <c r="GS13" s="29"/>
      <c r="GT13" s="29"/>
      <c r="GU13" s="29"/>
      <c r="GV13" s="29"/>
      <c r="GW13" s="29"/>
      <c r="GX13" s="29"/>
      <c r="GY13" s="29"/>
      <c r="GZ13" s="29"/>
      <c r="HA13" s="29"/>
      <c r="HB13" s="29"/>
      <c r="HC13" s="29"/>
      <c r="HD13" s="29"/>
      <c r="HE13" s="29"/>
      <c r="HF13" s="29"/>
      <c r="HG13" s="29"/>
      <c r="HH13" s="29"/>
      <c r="HI13" s="29"/>
      <c r="HJ13" s="29"/>
      <c r="HK13" s="29"/>
      <c r="HL13" s="29"/>
      <c r="HM13" s="29"/>
      <c r="HN13" s="29"/>
      <c r="HO13" s="29"/>
      <c r="HP13" s="29"/>
      <c r="HQ13" s="29"/>
      <c r="HR13" s="29"/>
      <c r="HS13" s="29"/>
      <c r="HT13" s="29"/>
      <c r="HU13" s="29"/>
      <c r="HV13" s="29"/>
      <c r="HW13" s="29"/>
      <c r="HX13" s="29"/>
      <c r="HY13" s="29"/>
      <c r="HZ13" s="29"/>
      <c r="IA13" s="29"/>
      <c r="IB13" s="29"/>
      <c r="IC13" s="29"/>
      <c r="ID13" s="29"/>
      <c r="IE13" s="29"/>
      <c r="IF13" s="29"/>
      <c r="IG13" s="29"/>
      <c r="IH13" s="29"/>
      <c r="II13" s="29"/>
      <c r="IJ13" s="29"/>
      <c r="IK13" s="29"/>
      <c r="IL13" s="29"/>
      <c r="IM13" s="29"/>
      <c r="IN13" s="29"/>
      <c r="IO13" s="29"/>
      <c r="IP13" s="29"/>
      <c r="IQ13" s="29"/>
      <c r="IR13" s="29"/>
      <c r="IS13" s="29"/>
      <c r="IT13" s="29"/>
      <c r="IU13" s="29"/>
      <c r="IV13" s="29"/>
    </row>
    <row r="14" spans="1:256" x14ac:dyDescent="0.2">
      <c r="A14" s="41" t="e">
        <f>AND('Race Kit'!B1,"AAAAADL53QA=")</f>
        <v>#VALUE!</v>
      </c>
      <c r="B14" s="41" t="e">
        <f>AND('Race Kit'!C1,"AAAAADL53QE=")</f>
        <v>#VALUE!</v>
      </c>
      <c r="C14" s="41" t="e">
        <f>AND('Race Kit'!D1,"AAAAADL53QI=")</f>
        <v>#VALUE!</v>
      </c>
      <c r="D14" s="41" t="e">
        <f>AND('Race Kit'!E1,"AAAAADL53QM=")</f>
        <v>#VALUE!</v>
      </c>
      <c r="E14" s="41" t="s">
        <v>123</v>
      </c>
      <c r="F14" s="41" t="e">
        <f>AND('Race Kit'!A2,"AAAAADL53QU=")</f>
        <v>#VALUE!</v>
      </c>
      <c r="G14" s="41" t="e">
        <f>AND('Race Kit'!B2,"AAAAADL53QY=")</f>
        <v>#VALUE!</v>
      </c>
      <c r="H14" s="41" t="e">
        <f>AND('Race Kit'!C2,"AAAAADL53Qc=")</f>
        <v>#VALUE!</v>
      </c>
      <c r="I14" s="41" t="e">
        <f>AND('Race Kit'!D2,"AAAAADL53Qg=")</f>
        <v>#VALUE!</v>
      </c>
      <c r="J14" s="41" t="e">
        <f>AND('Race Kit'!E2,"AAAAADL53Qk=")</f>
        <v>#VALUE!</v>
      </c>
      <c r="K14" s="41">
        <v>0</v>
      </c>
      <c r="L14" s="41" t="e">
        <f>AND('Race Kit'!A3,"AAAAADL53Qs=")</f>
        <v>#VALUE!</v>
      </c>
      <c r="M14" s="41" t="e">
        <f>AND('Race Kit'!B3,"AAAAADL53Qw=")</f>
        <v>#VALUE!</v>
      </c>
      <c r="N14" s="41" t="e">
        <f>AND('Race Kit'!C3,"AAAAADL53Q0=")</f>
        <v>#VALUE!</v>
      </c>
      <c r="O14" s="41" t="e">
        <f>AND('Race Kit'!D3,"AAAAADL53Q4=")</f>
        <v>#VALUE!</v>
      </c>
      <c r="P14" s="41" t="e">
        <f>AND('Race Kit'!E3,"AAAAADL53Q8=")</f>
        <v>#VALUE!</v>
      </c>
      <c r="Q14" s="41">
        <v>0</v>
      </c>
      <c r="R14" s="41" t="e">
        <f>AND('Race Kit'!A4,"AAAAADL53RE=")</f>
        <v>#VALUE!</v>
      </c>
      <c r="S14" s="41" t="e">
        <f>AND('Race Kit'!B4,"AAAAADL53RI=")</f>
        <v>#VALUE!</v>
      </c>
      <c r="T14" s="41" t="e">
        <f>AND('Race Kit'!C4,"AAAAADL53RM=")</f>
        <v>#VALUE!</v>
      </c>
      <c r="U14" s="41" t="e">
        <f>AND('Race Kit'!D4,"AAAAADL53RQ=")</f>
        <v>#VALUE!</v>
      </c>
      <c r="V14" s="41" t="e">
        <f>AND('Race Kit'!E4,"AAAAADL53RU=")</f>
        <v>#VALUE!</v>
      </c>
      <c r="W14" s="41">
        <v>0</v>
      </c>
      <c r="X14" s="41" t="e">
        <f>AND('Race Kit'!A5,"AAAAADL53Rc=")</f>
        <v>#VALUE!</v>
      </c>
      <c r="Y14" s="41" t="e">
        <f>AND('Race Kit'!B5,"AAAAADL53Rg=")</f>
        <v>#VALUE!</v>
      </c>
      <c r="Z14" s="41" t="e">
        <f>AND('Race Kit'!C5,"AAAAADL53Rk=")</f>
        <v>#VALUE!</v>
      </c>
      <c r="AA14" s="41" t="e">
        <f>AND('Race Kit'!D5,"AAAAADL53Ro=")</f>
        <v>#VALUE!</v>
      </c>
      <c r="AB14" s="41" t="e">
        <f>AND('Race Kit'!E5,"AAAAADL53Rs=")</f>
        <v>#VALUE!</v>
      </c>
      <c r="AC14" s="41">
        <v>0</v>
      </c>
      <c r="AD14" s="41" t="e">
        <f>AND('Race Kit'!A6,"AAAAADL53R0=")</f>
        <v>#VALUE!</v>
      </c>
      <c r="AE14" s="41" t="e">
        <f>AND('Race Kit'!B6,"AAAAADL53R4=")</f>
        <v>#VALUE!</v>
      </c>
      <c r="AF14" s="41" t="e">
        <f>AND('Race Kit'!C6,"AAAAADL53R8=")</f>
        <v>#VALUE!</v>
      </c>
      <c r="AG14" s="41" t="e">
        <f>AND('Race Kit'!D6,"AAAAADL53SA=")</f>
        <v>#VALUE!</v>
      </c>
      <c r="AH14" s="41" t="e">
        <f>AND('Race Kit'!E6,"AAAAADL53SE=")</f>
        <v>#VALUE!</v>
      </c>
      <c r="AI14" s="41">
        <v>0</v>
      </c>
      <c r="AJ14" s="41" t="e">
        <f>AND('Race Kit'!A7,"AAAAADL53SM=")</f>
        <v>#VALUE!</v>
      </c>
      <c r="AK14" s="41" t="e">
        <f>AND('Race Kit'!B7,"AAAAADL53SQ=")</f>
        <v>#VALUE!</v>
      </c>
      <c r="AL14" s="41" t="e">
        <f>AND('Race Kit'!C7,"AAAAADL53SU=")</f>
        <v>#VALUE!</v>
      </c>
      <c r="AM14" s="41" t="e">
        <f>AND('Race Kit'!D7,"AAAAADL53SY=")</f>
        <v>#VALUE!</v>
      </c>
      <c r="AN14" s="41" t="e">
        <f>AND('Race Kit'!E7,"AAAAADL53Sc=")</f>
        <v>#VALUE!</v>
      </c>
      <c r="AO14" s="41">
        <v>0</v>
      </c>
      <c r="AP14" s="41" t="e">
        <f>AND('Race Kit'!A8,"AAAAADL53Sk=")</f>
        <v>#VALUE!</v>
      </c>
      <c r="AQ14" s="41" t="e">
        <f>AND('Race Kit'!B8,"AAAAADL53So=")</f>
        <v>#VALUE!</v>
      </c>
      <c r="AR14" s="41" t="e">
        <f>AND('Race Kit'!C8,"AAAAADL53Ss=")</f>
        <v>#VALUE!</v>
      </c>
      <c r="AS14" s="41" t="e">
        <f>AND('Race Kit'!D8,"AAAAADL53Sw=")</f>
        <v>#VALUE!</v>
      </c>
      <c r="AT14" s="41" t="e">
        <f>AND('Race Kit'!E8,"AAAAADL53S0=")</f>
        <v>#VALUE!</v>
      </c>
      <c r="AU14" s="41">
        <v>0</v>
      </c>
      <c r="AV14" s="41" t="e">
        <f>AND('Race Kit'!A9,"AAAAADL53S8=")</f>
        <v>#VALUE!</v>
      </c>
      <c r="AW14" s="41" t="e">
        <f>AND('Race Kit'!B9,"AAAAADL53TA=")</f>
        <v>#VALUE!</v>
      </c>
      <c r="AX14" s="41" t="e">
        <f>AND('Race Kit'!C9,"AAAAADL53TE=")</f>
        <v>#VALUE!</v>
      </c>
      <c r="AY14" s="41" t="e">
        <f>AND('Race Kit'!D9,"AAAAADL53TI=")</f>
        <v>#VALUE!</v>
      </c>
      <c r="AZ14" s="41" t="e">
        <f>AND('Race Kit'!E9,"AAAAADL53TM=")</f>
        <v>#VALUE!</v>
      </c>
      <c r="BA14" s="41">
        <v>0</v>
      </c>
      <c r="BB14" s="41" t="e">
        <f>AND('Race Kit'!A10,"AAAAADL53TU=")</f>
        <v>#VALUE!</v>
      </c>
      <c r="BC14" s="41" t="e">
        <f>AND('Race Kit'!B10,"AAAAADL53TY=")</f>
        <v>#VALUE!</v>
      </c>
      <c r="BD14" s="41" t="e">
        <f>AND('Race Kit'!C10,"AAAAADL53Tc=")</f>
        <v>#VALUE!</v>
      </c>
      <c r="BE14" s="41" t="e">
        <f>AND('Race Kit'!D10,"AAAAADL53Tg=")</f>
        <v>#VALUE!</v>
      </c>
      <c r="BF14" s="41" t="e">
        <f>AND('Race Kit'!E10,"AAAAADL53Tk=")</f>
        <v>#VALUE!</v>
      </c>
      <c r="BG14" s="41">
        <v>0</v>
      </c>
      <c r="BH14" s="41" t="e">
        <f>AND('Race Kit'!A11,"AAAAADL53Ts=")</f>
        <v>#VALUE!</v>
      </c>
      <c r="BI14" s="41" t="e">
        <f>AND('Race Kit'!B11,"AAAAADL53Tw=")</f>
        <v>#VALUE!</v>
      </c>
      <c r="BJ14" s="41" t="e">
        <f>AND('Race Kit'!C11,"AAAAADL53T0=")</f>
        <v>#VALUE!</v>
      </c>
      <c r="BK14" s="41" t="e">
        <f>AND('Race Kit'!D11,"AAAAADL53T4=")</f>
        <v>#VALUE!</v>
      </c>
      <c r="BL14" s="41" t="e">
        <f>AND('Race Kit'!E11,"AAAAADL53T8=")</f>
        <v>#VALUE!</v>
      </c>
      <c r="BM14" s="41">
        <v>0</v>
      </c>
      <c r="BN14" s="41" t="e">
        <f>AND('Race Kit'!A12,"AAAAADL53UE=")</f>
        <v>#VALUE!</v>
      </c>
      <c r="BO14" s="41" t="e">
        <f>AND('Race Kit'!B12,"AAAAADL53UI=")</f>
        <v>#VALUE!</v>
      </c>
      <c r="BP14" s="41" t="e">
        <f>AND('Race Kit'!C12,"AAAAADL53UM=")</f>
        <v>#VALUE!</v>
      </c>
      <c r="BQ14" s="41" t="e">
        <f>AND('Race Kit'!D12,"AAAAADL53UQ=")</f>
        <v>#VALUE!</v>
      </c>
      <c r="BR14" s="41" t="e">
        <f>AND('Race Kit'!E12,"AAAAADL53UU=")</f>
        <v>#VALUE!</v>
      </c>
      <c r="BS14" s="41">
        <v>0</v>
      </c>
      <c r="BT14" s="41" t="e">
        <f>AND('Race Kit'!A13,"AAAAADL53Uc=")</f>
        <v>#VALUE!</v>
      </c>
      <c r="BU14" s="41" t="e">
        <f>AND('Race Kit'!B13,"AAAAADL53Ug=")</f>
        <v>#VALUE!</v>
      </c>
      <c r="BV14" s="41" t="e">
        <f>AND('Race Kit'!C13,"AAAAADL53Uk=")</f>
        <v>#VALUE!</v>
      </c>
      <c r="BW14" s="41" t="e">
        <f>AND('Race Kit'!D13,"AAAAADL53Uo=")</f>
        <v>#VALUE!</v>
      </c>
      <c r="BX14" s="41" t="e">
        <f>AND('Race Kit'!E13,"AAAAADL53Us=")</f>
        <v>#VALUE!</v>
      </c>
      <c r="BY14" s="41">
        <v>0</v>
      </c>
      <c r="BZ14" s="41" t="e">
        <f>AND('Race Kit'!A14,"AAAAADL53U0=")</f>
        <v>#VALUE!</v>
      </c>
      <c r="CA14" s="41" t="e">
        <f>AND('Race Kit'!B14,"AAAAADL53U4=")</f>
        <v>#VALUE!</v>
      </c>
      <c r="CB14" s="41" t="e">
        <f>AND('Race Kit'!C14,"AAAAADL53U8=")</f>
        <v>#VALUE!</v>
      </c>
      <c r="CC14" s="41" t="e">
        <f>AND('Race Kit'!D14,"AAAAADL53VA=")</f>
        <v>#VALUE!</v>
      </c>
      <c r="CD14" s="41" t="e">
        <f>AND('Race Kit'!E14,"AAAAADL53VE=")</f>
        <v>#VALUE!</v>
      </c>
      <c r="CE14" s="41">
        <v>0</v>
      </c>
      <c r="CF14" s="41" t="e">
        <f>AND('Race Kit'!A15,"AAAAADL53VM=")</f>
        <v>#VALUE!</v>
      </c>
      <c r="CG14" s="41" t="e">
        <f>AND('Race Kit'!B15,"AAAAADL53VQ=")</f>
        <v>#VALUE!</v>
      </c>
      <c r="CH14" s="41" t="e">
        <f>AND('Race Kit'!C15,"AAAAADL53VU=")</f>
        <v>#VALUE!</v>
      </c>
      <c r="CI14" s="41" t="e">
        <f>AND('Race Kit'!D15,"AAAAADL53VY=")</f>
        <v>#VALUE!</v>
      </c>
      <c r="CJ14" s="41" t="e">
        <f>AND('Race Kit'!E15,"AAAAADL53Vc=")</f>
        <v>#VALUE!</v>
      </c>
      <c r="CK14" s="41">
        <v>0</v>
      </c>
      <c r="CL14" s="41" t="e">
        <f>AND('Race Kit'!A16,"AAAAADL53Vk=")</f>
        <v>#VALUE!</v>
      </c>
      <c r="CM14" s="41" t="e">
        <f>AND('Race Kit'!B16,"AAAAADL53Vo=")</f>
        <v>#VALUE!</v>
      </c>
      <c r="CN14" s="41" t="e">
        <f>AND('Race Kit'!C16,"AAAAADL53Vs=")</f>
        <v>#VALUE!</v>
      </c>
      <c r="CO14" s="41" t="e">
        <f>AND('Race Kit'!D16,"AAAAADL53Vw=")</f>
        <v>#VALUE!</v>
      </c>
      <c r="CP14" s="41" t="e">
        <f>AND('Race Kit'!E16,"AAAAADL53V0=")</f>
        <v>#VALUE!</v>
      </c>
      <c r="CQ14" s="41">
        <v>0</v>
      </c>
      <c r="CR14" s="41" t="e">
        <f>AND('Race Kit'!A17,"AAAAADL53V8=")</f>
        <v>#VALUE!</v>
      </c>
      <c r="CS14" s="41" t="e">
        <f>AND('Race Kit'!B17,"AAAAADL53WA=")</f>
        <v>#VALUE!</v>
      </c>
      <c r="CT14" s="41" t="e">
        <f>AND('Race Kit'!C17,"AAAAADL53WE=")</f>
        <v>#VALUE!</v>
      </c>
      <c r="CU14" s="41" t="e">
        <f>AND('Race Kit'!D17,"AAAAADL53WI=")</f>
        <v>#VALUE!</v>
      </c>
      <c r="CV14" s="41" t="e">
        <f>AND('Race Kit'!E17,"AAAAADL53WM=")</f>
        <v>#VALUE!</v>
      </c>
      <c r="CW14" s="41">
        <v>0</v>
      </c>
      <c r="CX14" s="41" t="e">
        <f>AND('Race Kit'!A18,"AAAAADL53WU=")</f>
        <v>#VALUE!</v>
      </c>
      <c r="CY14" s="41" t="e">
        <f>AND('Race Kit'!B18,"AAAAADL53WY=")</f>
        <v>#VALUE!</v>
      </c>
      <c r="CZ14" s="41" t="e">
        <f>AND('Race Kit'!C18,"AAAAADL53Wc=")</f>
        <v>#VALUE!</v>
      </c>
      <c r="DA14" s="41" t="e">
        <f>AND('Race Kit'!D18,"AAAAADL53Wg=")</f>
        <v>#VALUE!</v>
      </c>
      <c r="DB14" s="41" t="e">
        <f>AND('Race Kit'!E18,"AAAAADL53Wk=")</f>
        <v>#VALUE!</v>
      </c>
      <c r="DC14" s="41">
        <v>0</v>
      </c>
      <c r="DD14" s="41" t="e">
        <f>AND('Race Kit'!A19,"AAAAADL53Ws=")</f>
        <v>#VALUE!</v>
      </c>
      <c r="DE14" s="41" t="e">
        <f>AND('Race Kit'!B19,"AAAAADL53Ww=")</f>
        <v>#VALUE!</v>
      </c>
      <c r="DF14" s="41" t="e">
        <f>AND('Race Kit'!C19,"AAAAADL53W0=")</f>
        <v>#VALUE!</v>
      </c>
      <c r="DG14" s="41" t="e">
        <f>AND('Race Kit'!D19,"AAAAADL53W4=")</f>
        <v>#VALUE!</v>
      </c>
      <c r="DH14" s="41" t="e">
        <f>AND('Race Kit'!E19,"AAAAADL53W8=")</f>
        <v>#VALUE!</v>
      </c>
      <c r="DI14" s="41">
        <v>0</v>
      </c>
      <c r="DJ14" s="41" t="e">
        <f>AND('Race Kit'!A20,"AAAAADL53XE=")</f>
        <v>#VALUE!</v>
      </c>
      <c r="DK14" s="41" t="e">
        <f>AND('Race Kit'!B20,"AAAAADL53XI=")</f>
        <v>#VALUE!</v>
      </c>
      <c r="DL14" s="41" t="e">
        <f>AND('Race Kit'!C20,"AAAAADL53XM=")</f>
        <v>#VALUE!</v>
      </c>
      <c r="DM14" s="41" t="e">
        <f>AND('Race Kit'!D20,"AAAAADL53XQ=")</f>
        <v>#VALUE!</v>
      </c>
      <c r="DN14" s="41" t="e">
        <f>AND('Race Kit'!E20,"AAAAADL53XU=")</f>
        <v>#VALUE!</v>
      </c>
      <c r="DO14" s="41">
        <v>0</v>
      </c>
      <c r="DP14" s="41" t="e">
        <f>AND('Race Kit'!A21,"AAAAADL53Xc=")</f>
        <v>#VALUE!</v>
      </c>
      <c r="DQ14" s="41" t="e">
        <f>AND('Race Kit'!B21,"AAAAADL53Xg=")</f>
        <v>#VALUE!</v>
      </c>
      <c r="DR14" s="41" t="e">
        <f>AND('Race Kit'!C21,"AAAAADL53Xk=")</f>
        <v>#VALUE!</v>
      </c>
      <c r="DS14" s="41" t="e">
        <f>AND('Race Kit'!D21,"AAAAADL53Xo=")</f>
        <v>#VALUE!</v>
      </c>
      <c r="DT14" s="41" t="e">
        <f>AND('Race Kit'!E21,"AAAAADL53Xs=")</f>
        <v>#VALUE!</v>
      </c>
      <c r="DU14" s="41">
        <v>0</v>
      </c>
      <c r="DV14" s="41" t="e">
        <f>AND('Race Kit'!A22,"AAAAADL53X0=")</f>
        <v>#VALUE!</v>
      </c>
      <c r="DW14" s="41" t="e">
        <f>AND('Race Kit'!B22,"AAAAADL53X4=")</f>
        <v>#VALUE!</v>
      </c>
      <c r="DX14" s="41" t="e">
        <f>AND('Race Kit'!C22,"AAAAADL53X8=")</f>
        <v>#VALUE!</v>
      </c>
      <c r="DY14" s="41" t="e">
        <f>AND('Race Kit'!D22,"AAAAADL53YA=")</f>
        <v>#VALUE!</v>
      </c>
      <c r="DZ14" s="41" t="e">
        <f>AND('Race Kit'!E22,"AAAAADL53YE=")</f>
        <v>#VALUE!</v>
      </c>
      <c r="EA14" s="41">
        <v>0</v>
      </c>
      <c r="EB14" s="41" t="e">
        <f>AND('Race Kit'!A23,"AAAAADL53YM=")</f>
        <v>#VALUE!</v>
      </c>
      <c r="EC14" s="41" t="e">
        <f>AND('Race Kit'!B23,"AAAAADL53YQ=")</f>
        <v>#VALUE!</v>
      </c>
      <c r="ED14" s="41" t="e">
        <f>AND('Race Kit'!C23,"AAAAADL53YU=")</f>
        <v>#VALUE!</v>
      </c>
      <c r="EE14" s="41" t="e">
        <f>AND('Race Kit'!D23,"AAAAADL53YY=")</f>
        <v>#VALUE!</v>
      </c>
      <c r="EF14" s="41" t="e">
        <f>AND('Race Kit'!E23,"AAAAADL53Yc=")</f>
        <v>#VALUE!</v>
      </c>
      <c r="EG14" s="41">
        <v>0</v>
      </c>
      <c r="EH14" s="41" t="e">
        <f>AND('Race Kit'!A24,"AAAAADL53Yk=")</f>
        <v>#VALUE!</v>
      </c>
      <c r="EI14" s="41" t="e">
        <f>AND('Race Kit'!B24,"AAAAADL53Yo=")</f>
        <v>#VALUE!</v>
      </c>
      <c r="EJ14" s="41" t="e">
        <f>AND('Race Kit'!C24,"AAAAADL53Ys=")</f>
        <v>#VALUE!</v>
      </c>
      <c r="EK14" s="41" t="e">
        <f>AND('Race Kit'!D24,"AAAAADL53Yw=")</f>
        <v>#VALUE!</v>
      </c>
      <c r="EL14" s="41" t="e">
        <f>AND('Race Kit'!E24,"AAAAADL53Y0=")</f>
        <v>#VALUE!</v>
      </c>
      <c r="EM14" s="41">
        <v>0</v>
      </c>
      <c r="EN14" s="41" t="e">
        <f>AND('Race Kit'!A25,"AAAAADL53Y8=")</f>
        <v>#VALUE!</v>
      </c>
      <c r="EO14" s="41" t="e">
        <f>AND('Race Kit'!B25,"AAAAADL53ZA=")</f>
        <v>#VALUE!</v>
      </c>
      <c r="EP14" s="41" t="e">
        <f>AND('Race Kit'!C25,"AAAAADL53ZE=")</f>
        <v>#VALUE!</v>
      </c>
      <c r="EQ14" s="41" t="e">
        <f>AND('Race Kit'!D25,"AAAAADL53ZI=")</f>
        <v>#VALUE!</v>
      </c>
      <c r="ER14" s="41" t="e">
        <f>AND('Race Kit'!E25,"AAAAADL53ZM=")</f>
        <v>#VALUE!</v>
      </c>
      <c r="ES14" s="41">
        <v>0</v>
      </c>
      <c r="ET14" s="41" t="e">
        <f>AND('Race Kit'!A26,"AAAAADL53ZU=")</f>
        <v>#VALUE!</v>
      </c>
      <c r="EU14" s="41" t="e">
        <f>AND('Race Kit'!B26,"AAAAADL53ZY=")</f>
        <v>#VALUE!</v>
      </c>
      <c r="EV14" s="41" t="e">
        <f>AND('Race Kit'!C26,"AAAAADL53Zc=")</f>
        <v>#VALUE!</v>
      </c>
      <c r="EW14" s="41" t="e">
        <f>AND('Race Kit'!D26,"AAAAADL53Zg=")</f>
        <v>#VALUE!</v>
      </c>
      <c r="EX14" s="41" t="e">
        <f>AND('Race Kit'!E26,"AAAAADL53Zk=")</f>
        <v>#VALUE!</v>
      </c>
      <c r="EY14" s="41">
        <v>0</v>
      </c>
      <c r="EZ14" s="41" t="e">
        <f>AND('Race Kit'!A27,"AAAAADL53Zs=")</f>
        <v>#VALUE!</v>
      </c>
      <c r="FA14" s="41" t="e">
        <f>AND('Race Kit'!B27,"AAAAADL53Zw=")</f>
        <v>#VALUE!</v>
      </c>
      <c r="FB14" s="41" t="e">
        <f>AND('Race Kit'!C27,"AAAAADL53Z0=")</f>
        <v>#VALUE!</v>
      </c>
      <c r="FC14" s="41" t="e">
        <f>AND('Race Kit'!D27,"AAAAADL53Z4=")</f>
        <v>#VALUE!</v>
      </c>
      <c r="FD14" s="41" t="e">
        <f>AND('Race Kit'!E27,"AAAAADL53Z8=")</f>
        <v>#VALUE!</v>
      </c>
      <c r="FE14" s="41">
        <v>0</v>
      </c>
      <c r="FF14" s="41" t="e">
        <f>AND('Race Kit'!A28,"AAAAADL53aE=")</f>
        <v>#VALUE!</v>
      </c>
      <c r="FG14" s="41" t="e">
        <f>AND('Race Kit'!B28,"AAAAADL53aI=")</f>
        <v>#VALUE!</v>
      </c>
      <c r="FH14" s="41" t="e">
        <f>AND('Race Kit'!C28,"AAAAADL53aM=")</f>
        <v>#VALUE!</v>
      </c>
      <c r="FI14" s="41" t="e">
        <f>AND('Race Kit'!D28,"AAAAADL53aQ=")</f>
        <v>#VALUE!</v>
      </c>
      <c r="FJ14" s="41" t="e">
        <f>AND('Race Kit'!E28,"AAAAADL53aU=")</f>
        <v>#VALUE!</v>
      </c>
      <c r="FK14" s="41">
        <v>0</v>
      </c>
      <c r="FL14" s="41" t="e">
        <f>AND('Race Kit'!A29,"AAAAADL53ac=")</f>
        <v>#VALUE!</v>
      </c>
      <c r="FM14" s="41" t="e">
        <f>AND('Race Kit'!B29,"AAAAADL53ag=")</f>
        <v>#VALUE!</v>
      </c>
      <c r="FN14" s="41" t="e">
        <f>AND('Race Kit'!C29,"AAAAADL53ak=")</f>
        <v>#VALUE!</v>
      </c>
      <c r="FO14" s="41" t="e">
        <f>AND('Race Kit'!D29,"AAAAADL53ao=")</f>
        <v>#VALUE!</v>
      </c>
      <c r="FP14" s="41" t="e">
        <f>AND('Race Kit'!E29,"AAAAADL53as=")</f>
        <v>#VALUE!</v>
      </c>
      <c r="FQ14" s="41">
        <v>0</v>
      </c>
      <c r="FR14" s="41" t="e">
        <f>AND('Race Kit'!A30,"AAAAADL53a0=")</f>
        <v>#VALUE!</v>
      </c>
      <c r="FS14" s="41" t="e">
        <f>AND('Race Kit'!B30,"AAAAADL53a4=")</f>
        <v>#VALUE!</v>
      </c>
      <c r="FT14" s="41" t="e">
        <f>AND('Race Kit'!C30,"AAAAADL53a8=")</f>
        <v>#VALUE!</v>
      </c>
      <c r="FU14" s="41" t="e">
        <f>AND('Race Kit'!D30,"AAAAADL53bA=")</f>
        <v>#VALUE!</v>
      </c>
      <c r="FV14" s="41" t="e">
        <f>AND('Race Kit'!E30,"AAAAADL53bE=")</f>
        <v>#VALUE!</v>
      </c>
      <c r="FW14" s="41">
        <v>0</v>
      </c>
      <c r="FX14" s="41" t="e">
        <f>AND('Race Kit'!A31,"AAAAADL53bM=")</f>
        <v>#VALUE!</v>
      </c>
      <c r="FY14" s="41" t="e">
        <f>AND('Race Kit'!B31,"AAAAADL53bQ=")</f>
        <v>#VALUE!</v>
      </c>
      <c r="FZ14" s="41" t="e">
        <f>AND('Race Kit'!C31,"AAAAADL53bU=")</f>
        <v>#VALUE!</v>
      </c>
      <c r="GA14" s="41" t="e">
        <f>AND('Race Kit'!D31,"AAAAADL53bY=")</f>
        <v>#VALUE!</v>
      </c>
      <c r="GB14" s="41" t="e">
        <f>AND('Race Kit'!E31,"AAAAADL53bc=")</f>
        <v>#VALUE!</v>
      </c>
      <c r="GC14" s="41">
        <v>0</v>
      </c>
      <c r="GD14" s="41" t="e">
        <f>AND('Race Kit'!A32,"AAAAADL53bk=")</f>
        <v>#VALUE!</v>
      </c>
      <c r="GE14" s="41" t="e">
        <f>AND('Race Kit'!B32,"AAAAADL53bo=")</f>
        <v>#VALUE!</v>
      </c>
      <c r="GF14" s="41" t="e">
        <f>AND('Race Kit'!C32,"AAAAADL53bs=")</f>
        <v>#VALUE!</v>
      </c>
      <c r="GG14" s="41" t="e">
        <f>AND('Race Kit'!D32,"AAAAADL53bw=")</f>
        <v>#VALUE!</v>
      </c>
      <c r="GH14" s="41" t="e">
        <f>AND('Race Kit'!E32,"AAAAADL53b0=")</f>
        <v>#VALUE!</v>
      </c>
      <c r="GI14" s="41">
        <v>0</v>
      </c>
      <c r="GJ14" s="41" t="e">
        <f>AND('Race Kit'!A33,"AAAAADL53b8=")</f>
        <v>#VALUE!</v>
      </c>
      <c r="GK14" s="41" t="e">
        <f>AND('Race Kit'!B33,"AAAAADL53cA=")</f>
        <v>#VALUE!</v>
      </c>
      <c r="GL14" s="41" t="e">
        <f>AND('Race Kit'!C33,"AAAAADL53cE=")</f>
        <v>#VALUE!</v>
      </c>
      <c r="GM14" s="41" t="e">
        <f>AND('Race Kit'!D33,"AAAAADL53cI=")</f>
        <v>#VALUE!</v>
      </c>
      <c r="GN14" s="41" t="e">
        <f>AND('Race Kit'!E33,"AAAAADL53cM=")</f>
        <v>#VALUE!</v>
      </c>
      <c r="GO14" s="41">
        <v>0</v>
      </c>
      <c r="GP14" s="41" t="e">
        <f>AND('Race Kit'!A34,"AAAAADL53cU=")</f>
        <v>#VALUE!</v>
      </c>
      <c r="GQ14" s="41" t="e">
        <f>AND('Race Kit'!B34,"AAAAADL53cY=")</f>
        <v>#VALUE!</v>
      </c>
      <c r="GR14" s="41" t="e">
        <f>AND('Race Kit'!C34,"AAAAADL53cc=")</f>
        <v>#VALUE!</v>
      </c>
      <c r="GS14" s="41" t="e">
        <f>AND('Race Kit'!D34,"AAAAADL53cg=")</f>
        <v>#VALUE!</v>
      </c>
      <c r="GT14" s="41" t="e">
        <f>AND('Race Kit'!E34,"AAAAADL53ck=")</f>
        <v>#VALUE!</v>
      </c>
      <c r="GU14" s="41">
        <v>0</v>
      </c>
      <c r="GV14" s="41" t="e">
        <f>AND('Race Kit'!A35,"AAAAADL53cs=")</f>
        <v>#VALUE!</v>
      </c>
      <c r="GW14" s="41" t="e">
        <f>AND('Race Kit'!B35,"AAAAADL53cw=")</f>
        <v>#VALUE!</v>
      </c>
      <c r="GX14" s="41" t="e">
        <f>AND('Race Kit'!C35,"AAAAADL53c0=")</f>
        <v>#VALUE!</v>
      </c>
      <c r="GY14" s="41" t="e">
        <f>AND('Race Kit'!D35,"AAAAADL53c4=")</f>
        <v>#VALUE!</v>
      </c>
      <c r="GZ14" s="41" t="e">
        <f>AND('Race Kit'!E35,"AAAAADL53c8=")</f>
        <v>#VALUE!</v>
      </c>
      <c r="HA14" s="41">
        <v>0</v>
      </c>
      <c r="HB14" s="41" t="e">
        <f>AND('Race Kit'!A36,"AAAAADL53dE=")</f>
        <v>#VALUE!</v>
      </c>
      <c r="HC14" s="41" t="e">
        <f>AND('Race Kit'!B36,"AAAAADL53dI=")</f>
        <v>#VALUE!</v>
      </c>
      <c r="HD14" s="41" t="e">
        <f>AND('Race Kit'!C36,"AAAAADL53dM=")</f>
        <v>#VALUE!</v>
      </c>
      <c r="HE14" s="41" t="e">
        <f>AND('Race Kit'!D36,"AAAAADL53dQ=")</f>
        <v>#VALUE!</v>
      </c>
      <c r="HF14" s="41" t="e">
        <f>AND('Race Kit'!E36,"AAAAADL53dU=")</f>
        <v>#VALUE!</v>
      </c>
      <c r="HG14" s="41">
        <v>0</v>
      </c>
      <c r="HH14" s="41" t="e">
        <f>AND('Race Kit'!A38,"AAAAADL53dc=")</f>
        <v>#VALUE!</v>
      </c>
      <c r="HI14" s="41" t="e">
        <f>AND('Race Kit'!B38,"AAAAADL53dg=")</f>
        <v>#VALUE!</v>
      </c>
      <c r="HJ14" s="41" t="e">
        <f>AND('Race Kit'!C38,"AAAAADL53dk=")</f>
        <v>#VALUE!</v>
      </c>
      <c r="HK14" s="41" t="e">
        <f>AND('Race Kit'!D38,"AAAAADL53do=")</f>
        <v>#VALUE!</v>
      </c>
      <c r="HL14" s="41" t="e">
        <f>AND('Race Kit'!E38,"AAAAADL53ds=")</f>
        <v>#VALUE!</v>
      </c>
      <c r="HM14" s="41">
        <v>0</v>
      </c>
      <c r="HN14" s="41" t="e">
        <f>AND('Race Kit'!A39,"AAAAADL53d0=")</f>
        <v>#VALUE!</v>
      </c>
      <c r="HO14" s="41" t="e">
        <f>AND('Race Kit'!B39,"AAAAADL53d4=")</f>
        <v>#VALUE!</v>
      </c>
      <c r="HP14" s="41" t="e">
        <f>AND('Race Kit'!C39,"AAAAADL53d8=")</f>
        <v>#VALUE!</v>
      </c>
      <c r="HQ14" s="41" t="e">
        <f>AND('Race Kit'!D39,"AAAAADL53eA=")</f>
        <v>#VALUE!</v>
      </c>
      <c r="HR14" s="41" t="e">
        <f>AND('Race Kit'!E39,"AAAAADL53eE=")</f>
        <v>#VALUE!</v>
      </c>
      <c r="HS14" s="41">
        <v>0</v>
      </c>
      <c r="HT14" s="41" t="e">
        <f>AND('Race Kit'!A40,"AAAAADL53eM=")</f>
        <v>#VALUE!</v>
      </c>
      <c r="HU14" s="41" t="e">
        <f>AND('Race Kit'!B40,"AAAAADL53eQ=")</f>
        <v>#VALUE!</v>
      </c>
      <c r="HV14" s="41" t="e">
        <f>AND('Race Kit'!C40,"AAAAADL53eU=")</f>
        <v>#VALUE!</v>
      </c>
      <c r="HW14" s="41" t="e">
        <f>AND('Race Kit'!D40,"AAAAADL53eY=")</f>
        <v>#VALUE!</v>
      </c>
      <c r="HX14" s="41" t="e">
        <f>AND('Race Kit'!E40,"AAAAADL53ec=")</f>
        <v>#VALUE!</v>
      </c>
      <c r="HY14" s="41">
        <v>0</v>
      </c>
      <c r="HZ14" s="41" t="e">
        <f>AND('Race Kit'!A41,"AAAAADL53ek=")</f>
        <v>#VALUE!</v>
      </c>
      <c r="IA14" s="41" t="e">
        <f>AND('Race Kit'!B41,"AAAAADL53eo=")</f>
        <v>#VALUE!</v>
      </c>
      <c r="IB14" s="41" t="e">
        <f>AND('Race Kit'!C41,"AAAAADL53es=")</f>
        <v>#VALUE!</v>
      </c>
      <c r="IC14" s="41" t="e">
        <f>AND('Race Kit'!D41,"AAAAADL53ew=")</f>
        <v>#VALUE!</v>
      </c>
      <c r="ID14" s="41" t="e">
        <f>AND('Race Kit'!E41,"AAAAADL53e0=")</f>
        <v>#VALUE!</v>
      </c>
      <c r="IE14" s="41">
        <v>0</v>
      </c>
      <c r="IF14" s="41" t="e">
        <f>AND('Race Kit'!A42,"AAAAADL53e8=")</f>
        <v>#VALUE!</v>
      </c>
      <c r="IG14" s="41" t="e">
        <f>AND('Race Kit'!B42,"AAAAADL53fA=")</f>
        <v>#VALUE!</v>
      </c>
      <c r="IH14" s="41" t="e">
        <f>AND('Race Kit'!C42,"AAAAADL53fE=")</f>
        <v>#VALUE!</v>
      </c>
      <c r="II14" s="41" t="e">
        <f>AND('Race Kit'!D42,"AAAAADL53fI=")</f>
        <v>#VALUE!</v>
      </c>
      <c r="IJ14" s="41" t="e">
        <f>AND('Race Kit'!E42,"AAAAADL53fM=")</f>
        <v>#VALUE!</v>
      </c>
      <c r="IK14" s="41">
        <v>0</v>
      </c>
      <c r="IL14" s="41" t="e">
        <f>AND('Race Kit'!A43,"AAAAADL53fU=")</f>
        <v>#VALUE!</v>
      </c>
      <c r="IM14" s="41" t="e">
        <f>AND('Race Kit'!B43,"AAAAADL53fY=")</f>
        <v>#VALUE!</v>
      </c>
      <c r="IN14" s="41" t="e">
        <f>AND('Race Kit'!C43,"AAAAADL53fc=")</f>
        <v>#VALUE!</v>
      </c>
      <c r="IO14" s="41" t="e">
        <f>AND('Race Kit'!D43,"AAAAADL53fg=")</f>
        <v>#VALUE!</v>
      </c>
      <c r="IP14" s="41" t="e">
        <f>AND('Race Kit'!E43,"AAAAADL53fk=")</f>
        <v>#VALUE!</v>
      </c>
      <c r="IQ14" s="41">
        <v>0</v>
      </c>
      <c r="IR14" s="41" t="e">
        <f>AND('Race Kit'!A44,"AAAAADL53fs=")</f>
        <v>#VALUE!</v>
      </c>
      <c r="IS14" s="41" t="e">
        <f>AND('Race Kit'!B44,"AAAAADL53fw=")</f>
        <v>#VALUE!</v>
      </c>
      <c r="IT14" s="41" t="e">
        <f>AND('Race Kit'!C44,"AAAAADL53f0=")</f>
        <v>#VALUE!</v>
      </c>
      <c r="IU14" s="41" t="e">
        <f>AND('Race Kit'!D44,"AAAAADL53f4=")</f>
        <v>#VALUE!</v>
      </c>
      <c r="IV14" s="41" t="e">
        <f>AND('Race Kit'!E44,"AAAAADL53f8=")</f>
        <v>#VALUE!</v>
      </c>
    </row>
    <row r="15" spans="1:256" x14ac:dyDescent="0.2">
      <c r="A15" s="41" t="s">
        <v>123</v>
      </c>
      <c r="B15" s="41" t="e">
        <f>AND('Race Kit'!A45,"AAAAAFex7wE=")</f>
        <v>#VALUE!</v>
      </c>
      <c r="C15" s="41" t="e">
        <f>AND('Race Kit'!B45,"AAAAAFex7wI=")</f>
        <v>#VALUE!</v>
      </c>
      <c r="D15" s="41" t="e">
        <f>AND('Race Kit'!C45,"AAAAAFex7wM=")</f>
        <v>#VALUE!</v>
      </c>
      <c r="E15" s="41" t="e">
        <f>AND('Race Kit'!D45,"AAAAAFex7wQ=")</f>
        <v>#VALUE!</v>
      </c>
      <c r="F15" s="41" t="e">
        <f>AND('Race Kit'!E45,"AAAAAFex7wU=")</f>
        <v>#VALUE!</v>
      </c>
      <c r="G15" s="41">
        <v>0</v>
      </c>
      <c r="H15" s="41" t="e">
        <f>AND('Race Kit'!A46,"AAAAAFex7wc=")</f>
        <v>#VALUE!</v>
      </c>
      <c r="I15" s="41" t="e">
        <f>AND('Race Kit'!B46,"AAAAAFex7wg=")</f>
        <v>#VALUE!</v>
      </c>
      <c r="J15" s="41" t="e">
        <f>AND('Race Kit'!C46,"AAAAAFex7wk=")</f>
        <v>#VALUE!</v>
      </c>
      <c r="K15" s="41" t="e">
        <f>AND('Race Kit'!D46,"AAAAAFex7wo=")</f>
        <v>#VALUE!</v>
      </c>
      <c r="L15" s="41" t="e">
        <f>AND('Race Kit'!E46,"AAAAAFex7ws=")</f>
        <v>#VALUE!</v>
      </c>
      <c r="M15" s="41">
        <v>0</v>
      </c>
      <c r="N15" s="41" t="e">
        <f>AND('Race Kit'!A47,"AAAAAFex7w0=")</f>
        <v>#VALUE!</v>
      </c>
      <c r="O15" s="41" t="e">
        <f>AND('Race Kit'!B47,"AAAAAFex7w4=")</f>
        <v>#VALUE!</v>
      </c>
      <c r="P15" s="41" t="e">
        <f>AND('Race Kit'!C47,"AAAAAFex7w8=")</f>
        <v>#VALUE!</v>
      </c>
      <c r="Q15" s="41" t="e">
        <f>AND('Race Kit'!D47,"AAAAAFex7xA=")</f>
        <v>#VALUE!</v>
      </c>
      <c r="R15" s="41" t="e">
        <f>AND('Race Kit'!E47,"AAAAAFex7xE=")</f>
        <v>#VALUE!</v>
      </c>
      <c r="S15" s="41">
        <v>0</v>
      </c>
      <c r="T15" s="41" t="e">
        <f>AND('Race Kit'!A48,"AAAAAFex7xM=")</f>
        <v>#VALUE!</v>
      </c>
      <c r="U15" s="41" t="e">
        <f>AND('Race Kit'!B48,"AAAAAFex7xQ=")</f>
        <v>#VALUE!</v>
      </c>
      <c r="V15" s="41" t="e">
        <f>AND('Race Kit'!C48,"AAAAAFex7xU=")</f>
        <v>#VALUE!</v>
      </c>
      <c r="W15" s="41" t="e">
        <f>AND('Race Kit'!D48,"AAAAAFex7xY=")</f>
        <v>#VALUE!</v>
      </c>
      <c r="X15" s="41" t="e">
        <f>AND('Race Kit'!E48,"AAAAAFex7xc=")</f>
        <v>#VALUE!</v>
      </c>
      <c r="Y15" s="41">
        <v>0</v>
      </c>
      <c r="Z15" s="41" t="e">
        <f>AND('Race Kit'!A49,"AAAAAFex7xk=")</f>
        <v>#VALUE!</v>
      </c>
      <c r="AA15" s="41" t="e">
        <f>AND('Race Kit'!B49,"AAAAAFex7xo=")</f>
        <v>#VALUE!</v>
      </c>
      <c r="AB15" s="41" t="e">
        <f>AND('Race Kit'!C49,"AAAAAFex7xs=")</f>
        <v>#VALUE!</v>
      </c>
      <c r="AC15" s="41" t="e">
        <f>AND('Race Kit'!D49,"AAAAAFex7xw=")</f>
        <v>#VALUE!</v>
      </c>
      <c r="AD15" s="41" t="e">
        <f>AND('Race Kit'!E49,"AAAAAFex7x0=")</f>
        <v>#VALUE!</v>
      </c>
      <c r="AE15" s="41">
        <v>0</v>
      </c>
      <c r="AF15" s="41" t="e">
        <f>AND('Race Kit'!A50,"AAAAAFex7x8=")</f>
        <v>#VALUE!</v>
      </c>
      <c r="AG15" s="41" t="e">
        <f>AND('Race Kit'!B50,"AAAAAFex7yA=")</f>
        <v>#VALUE!</v>
      </c>
      <c r="AH15" s="41" t="e">
        <f>AND('Race Kit'!C50,"AAAAAFex7yE=")</f>
        <v>#VALUE!</v>
      </c>
      <c r="AI15" s="41" t="e">
        <f>AND('Race Kit'!D50,"AAAAAFex7yI=")</f>
        <v>#VALUE!</v>
      </c>
      <c r="AJ15" s="41" t="e">
        <f>AND('Race Kit'!E50,"AAAAAFex7yM=")</f>
        <v>#VALUE!</v>
      </c>
      <c r="AK15" s="41">
        <v>0</v>
      </c>
      <c r="AL15" s="41" t="e">
        <f>AND('Race Kit'!A51,"AAAAAFex7yU=")</f>
        <v>#VALUE!</v>
      </c>
      <c r="AM15" s="41" t="e">
        <f>AND('Race Kit'!B51,"AAAAAFex7yY=")</f>
        <v>#VALUE!</v>
      </c>
      <c r="AN15" s="41" t="e">
        <f>AND('Race Kit'!C51,"AAAAAFex7yc=")</f>
        <v>#VALUE!</v>
      </c>
      <c r="AO15" s="41" t="e">
        <f>AND('Race Kit'!D51,"AAAAAFex7yg=")</f>
        <v>#VALUE!</v>
      </c>
      <c r="AP15" s="41" t="e">
        <f>AND('Race Kit'!E51,"AAAAAFex7yk=")</f>
        <v>#VALUE!</v>
      </c>
      <c r="AQ15" s="41">
        <v>0</v>
      </c>
      <c r="AR15" s="41" t="e">
        <f>AND('Race Kit'!A52,"AAAAAFex7ys=")</f>
        <v>#VALUE!</v>
      </c>
      <c r="AS15" s="41" t="e">
        <f>AND('Race Kit'!B52,"AAAAAFex7yw=")</f>
        <v>#VALUE!</v>
      </c>
      <c r="AT15" s="41" t="e">
        <f>AND('Race Kit'!C52,"AAAAAFex7y0=")</f>
        <v>#VALUE!</v>
      </c>
      <c r="AU15" s="41" t="e">
        <f>AND('Race Kit'!D52,"AAAAAFex7y4=")</f>
        <v>#VALUE!</v>
      </c>
      <c r="AV15" s="41" t="e">
        <f>AND('Race Kit'!E52,"AAAAAFex7y8=")</f>
        <v>#VALUE!</v>
      </c>
      <c r="AW15" s="41">
        <v>0</v>
      </c>
      <c r="AX15" s="41" t="e">
        <f>AND('Race Kit'!A53,"AAAAAFex7zE=")</f>
        <v>#VALUE!</v>
      </c>
      <c r="AY15" s="41" t="e">
        <f>AND('Race Kit'!B53,"AAAAAFex7zI=")</f>
        <v>#VALUE!</v>
      </c>
      <c r="AZ15" s="41" t="e">
        <f>AND('Race Kit'!C53,"AAAAAFex7zM=")</f>
        <v>#VALUE!</v>
      </c>
      <c r="BA15" s="41" t="e">
        <f>AND('Race Kit'!D53,"AAAAAFex7zQ=")</f>
        <v>#VALUE!</v>
      </c>
      <c r="BB15" s="41" t="e">
        <f>AND('Race Kit'!E53,"AAAAAFex7zU=")</f>
        <v>#VALUE!</v>
      </c>
      <c r="BC15" s="41">
        <v>0</v>
      </c>
      <c r="BD15" s="41" t="e">
        <f>AND('Race Kit'!A54,"AAAAAFex7zc=")</f>
        <v>#VALUE!</v>
      </c>
      <c r="BE15" s="41" t="e">
        <f>AND('Race Kit'!B54,"AAAAAFex7zg=")</f>
        <v>#VALUE!</v>
      </c>
      <c r="BF15" s="41" t="e">
        <f>AND('Race Kit'!C54,"AAAAAFex7zk=")</f>
        <v>#VALUE!</v>
      </c>
      <c r="BG15" s="41" t="e">
        <f>AND('Race Kit'!D54,"AAAAAFex7zo=")</f>
        <v>#VALUE!</v>
      </c>
      <c r="BH15" s="41" t="e">
        <f>AND('Race Kit'!E54,"AAAAAFex7zs=")</f>
        <v>#VALUE!</v>
      </c>
      <c r="BI15" s="41">
        <v>0</v>
      </c>
      <c r="BJ15" s="41" t="e">
        <f>AND('Race Kit'!A55,"AAAAAFex7z0=")</f>
        <v>#VALUE!</v>
      </c>
      <c r="BK15" s="41" t="e">
        <f>AND('Race Kit'!B55,"AAAAAFex7z4=")</f>
        <v>#VALUE!</v>
      </c>
      <c r="BL15" s="41" t="e">
        <f>AND('Race Kit'!C55,"AAAAAFex7z8=")</f>
        <v>#VALUE!</v>
      </c>
      <c r="BM15" s="41" t="e">
        <f>AND('Race Kit'!D55,"AAAAAFex70A=")</f>
        <v>#VALUE!</v>
      </c>
      <c r="BN15" s="41" t="e">
        <f>AND('Race Kit'!E55,"AAAAAFex70E=")</f>
        <v>#VALUE!</v>
      </c>
      <c r="BO15" s="41">
        <v>0</v>
      </c>
      <c r="BP15" s="41" t="e">
        <f>AND('Race Kit'!A56,"AAAAAFex70M=")</f>
        <v>#VALUE!</v>
      </c>
      <c r="BQ15" s="41" t="e">
        <f>AND('Race Kit'!B56,"AAAAAFex70Q=")</f>
        <v>#VALUE!</v>
      </c>
      <c r="BR15" s="41" t="e">
        <f>AND('Race Kit'!C56,"AAAAAFex70U=")</f>
        <v>#VALUE!</v>
      </c>
      <c r="BS15" s="41" t="e">
        <f>AND('Race Kit'!D56,"AAAAAFex70Y=")</f>
        <v>#VALUE!</v>
      </c>
      <c r="BT15" s="41">
        <v>0</v>
      </c>
      <c r="BU15" s="41" t="e">
        <f>AND('Race Kit'!A57,"AAAAAFex70g=")</f>
        <v>#VALUE!</v>
      </c>
      <c r="BV15" s="41" t="e">
        <f>AND('Race Kit'!B57,"AAAAAFex70k=")</f>
        <v>#VALUE!</v>
      </c>
      <c r="BW15" s="41" t="e">
        <f>AND('Race Kit'!C57,"AAAAAFex70o=")</f>
        <v>#VALUE!</v>
      </c>
      <c r="BX15" s="41" t="e">
        <f>AND('Race Kit'!D57,"AAAAAFex70s=")</f>
        <v>#VALUE!</v>
      </c>
      <c r="BY15" s="41">
        <v>0</v>
      </c>
      <c r="BZ15" s="41" t="e">
        <f>AND('Race Kit'!A58,"AAAAAFex700=")</f>
        <v>#VALUE!</v>
      </c>
      <c r="CA15" s="41" t="e">
        <f>AND('Race Kit'!B58,"AAAAAFex704=")</f>
        <v>#VALUE!</v>
      </c>
      <c r="CB15" s="41" t="e">
        <f>AND('Race Kit'!C58,"AAAAAFex708=")</f>
        <v>#VALUE!</v>
      </c>
      <c r="CC15" s="41" t="e">
        <f>AND('Race Kit'!D58,"AAAAAFex71A=")</f>
        <v>#VALUE!</v>
      </c>
      <c r="CD15" s="41">
        <v>0</v>
      </c>
      <c r="CE15" s="41" t="e">
        <f>AND('Race Kit'!A59,"AAAAAFex71I=")</f>
        <v>#VALUE!</v>
      </c>
      <c r="CF15" s="41" t="e">
        <f>AND('Race Kit'!B59,"AAAAAFex71M=")</f>
        <v>#VALUE!</v>
      </c>
      <c r="CG15" s="41" t="e">
        <f>AND('Race Kit'!C59,"AAAAAFex71Q=")</f>
        <v>#VALUE!</v>
      </c>
      <c r="CH15" s="41" t="e">
        <f>AND('Race Kit'!D59,"AAAAAFex71U=")</f>
        <v>#VALUE!</v>
      </c>
      <c r="CI15" s="41">
        <v>0</v>
      </c>
      <c r="CJ15" s="41" t="e">
        <f>AND('Race Kit'!A60,"AAAAAFex71c=")</f>
        <v>#VALUE!</v>
      </c>
      <c r="CK15" s="41" t="e">
        <f>AND('Race Kit'!B60,"AAAAAFex71g=")</f>
        <v>#VALUE!</v>
      </c>
      <c r="CL15" s="41" t="e">
        <f>AND('Race Kit'!C60,"AAAAAFex71k=")</f>
        <v>#VALUE!</v>
      </c>
      <c r="CM15" s="41" t="e">
        <f>AND('Race Kit'!D60,"AAAAAFex71o=")</f>
        <v>#VALUE!</v>
      </c>
      <c r="CN15" s="41">
        <v>0</v>
      </c>
      <c r="CO15" s="41" t="e">
        <f>AND('Race Kit'!A61,"AAAAAFex71w=")</f>
        <v>#VALUE!</v>
      </c>
      <c r="CP15" s="41" t="e">
        <f>AND('Race Kit'!B61,"AAAAAFex710=")</f>
        <v>#VALUE!</v>
      </c>
      <c r="CQ15" s="41" t="e">
        <f>AND('Race Kit'!C61,"AAAAAFex714=")</f>
        <v>#VALUE!</v>
      </c>
      <c r="CR15" s="41" t="e">
        <f>AND('Race Kit'!D61,"AAAAAFex718=")</f>
        <v>#VALUE!</v>
      </c>
      <c r="CS15" s="41" t="s">
        <v>123</v>
      </c>
      <c r="CT15" s="41" t="s">
        <v>132</v>
      </c>
      <c r="CU15" s="41">
        <v>0</v>
      </c>
      <c r="CV15" s="41" t="s">
        <v>123</v>
      </c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29"/>
      <c r="EW15" s="29"/>
      <c r="EX15" s="29"/>
      <c r="EY15" s="29"/>
      <c r="EZ15" s="29"/>
      <c r="FA15" s="29"/>
      <c r="FB15" s="29"/>
      <c r="FC15" s="29"/>
      <c r="FD15" s="29"/>
      <c r="FE15" s="29"/>
      <c r="FF15" s="29"/>
      <c r="FG15" s="29"/>
      <c r="FH15" s="29"/>
      <c r="FI15" s="29"/>
      <c r="FJ15" s="29"/>
      <c r="FK15" s="29"/>
      <c r="FL15" s="29"/>
      <c r="FM15" s="29"/>
      <c r="FN15" s="29"/>
      <c r="FO15" s="29"/>
      <c r="FP15" s="29"/>
      <c r="FQ15" s="29"/>
      <c r="FR15" s="29"/>
      <c r="FS15" s="29"/>
      <c r="FT15" s="29"/>
      <c r="FU15" s="29"/>
      <c r="FV15" s="29"/>
      <c r="FW15" s="29"/>
      <c r="FX15" s="29"/>
      <c r="FY15" s="29"/>
      <c r="FZ15" s="29"/>
      <c r="GA15" s="29"/>
      <c r="GB15" s="29"/>
      <c r="GC15" s="29"/>
      <c r="GD15" s="29"/>
      <c r="GE15" s="29"/>
      <c r="GF15" s="29"/>
      <c r="GG15" s="29"/>
      <c r="GH15" s="29"/>
      <c r="GI15" s="29"/>
      <c r="GJ15" s="29"/>
      <c r="GK15" s="29"/>
      <c r="GL15" s="29"/>
      <c r="GM15" s="29"/>
      <c r="GN15" s="29"/>
      <c r="GO15" s="29"/>
      <c r="GP15" s="29"/>
      <c r="GQ15" s="29"/>
      <c r="GR15" s="29"/>
      <c r="GS15" s="29"/>
      <c r="GT15" s="29"/>
      <c r="GU15" s="29"/>
      <c r="GV15" s="29"/>
      <c r="GW15" s="29"/>
      <c r="GX15" s="29"/>
      <c r="GY15" s="29"/>
      <c r="GZ15" s="29"/>
      <c r="HA15" s="29"/>
      <c r="HB15" s="29"/>
      <c r="HC15" s="29"/>
      <c r="HD15" s="29"/>
      <c r="HE15" s="29"/>
      <c r="HF15" s="29"/>
      <c r="HG15" s="29"/>
      <c r="HH15" s="29"/>
      <c r="HI15" s="29"/>
      <c r="HJ15" s="29"/>
      <c r="HK15" s="29"/>
      <c r="HL15" s="29"/>
      <c r="HM15" s="29"/>
      <c r="HN15" s="29"/>
      <c r="HO15" s="29"/>
      <c r="HP15" s="29"/>
      <c r="HQ15" s="29"/>
      <c r="HR15" s="29"/>
      <c r="HS15" s="29"/>
      <c r="HT15" s="29"/>
      <c r="HU15" s="29"/>
      <c r="HV15" s="29"/>
      <c r="HW15" s="29"/>
      <c r="HX15" s="29"/>
      <c r="HY15" s="29"/>
      <c r="HZ15" s="29"/>
      <c r="IA15" s="29"/>
      <c r="IB15" s="29"/>
      <c r="IC15" s="29"/>
      <c r="ID15" s="29"/>
      <c r="IE15" s="29"/>
      <c r="IF15" s="29"/>
      <c r="IG15" s="29"/>
      <c r="IH15" s="29"/>
      <c r="II15" s="29"/>
      <c r="IJ15" s="29"/>
      <c r="IK15" s="29"/>
      <c r="IL15" s="29"/>
      <c r="IM15" s="29"/>
      <c r="IN15" s="29"/>
      <c r="IO15" s="29"/>
      <c r="IP15" s="29"/>
      <c r="IQ15" s="29"/>
      <c r="IR15" s="29"/>
      <c r="IS15" s="29"/>
      <c r="IT15" s="29"/>
      <c r="IU15" s="29"/>
      <c r="IV15" s="29"/>
    </row>
    <row r="16" spans="1:256" x14ac:dyDescent="0.2">
      <c r="A16" s="41" t="e">
        <f>AND('Declaration Form'!H1,"AAAAAH3r/QA=")</f>
        <v>#VALUE!</v>
      </c>
      <c r="B16" s="41" t="e">
        <f>AND('Declaration Form'!I1,"AAAAAH3r/QE=")</f>
        <v>#VALUE!</v>
      </c>
      <c r="C16" s="41" t="e">
        <f>AND('Declaration Form'!J1,"AAAAAH3r/QI=")</f>
        <v>#VALUE!</v>
      </c>
      <c r="D16" s="41" t="e">
        <f>AND('Declaration Form'!K1,"AAAAAH3r/QM=")</f>
        <v>#VALUE!</v>
      </c>
      <c r="E16" s="41" t="e">
        <f>AND('Declaration Form'!H2,"AAAAAH3r/QQ=")</f>
        <v>#VALUE!</v>
      </c>
      <c r="F16" s="41" t="e">
        <f>AND('Declaration Form'!I2,"AAAAAH3r/QU=")</f>
        <v>#VALUE!</v>
      </c>
      <c r="G16" s="41" t="e">
        <f>AND('Declaration Form'!J2,"AAAAAH3r/QY=")</f>
        <v>#VALUE!</v>
      </c>
      <c r="H16" s="41" t="e">
        <f>AND('Declaration Form'!K2,"AAAAAH3r/Qc=")</f>
        <v>#VALUE!</v>
      </c>
      <c r="I16" s="41">
        <v>0</v>
      </c>
      <c r="J16" s="41">
        <v>0</v>
      </c>
      <c r="K16" s="41">
        <v>0</v>
      </c>
      <c r="L16" s="41">
        <v>0</v>
      </c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29"/>
      <c r="FN16" s="29"/>
      <c r="FO16" s="29"/>
      <c r="FP16" s="29"/>
      <c r="FQ16" s="29"/>
      <c r="FR16" s="29"/>
      <c r="FS16" s="29"/>
      <c r="FT16" s="29"/>
      <c r="FU16" s="29"/>
      <c r="FV16" s="29"/>
      <c r="FW16" s="29"/>
      <c r="FX16" s="29"/>
      <c r="FY16" s="29"/>
      <c r="FZ16" s="29"/>
      <c r="GA16" s="29"/>
      <c r="GB16" s="29"/>
      <c r="GC16" s="29"/>
      <c r="GD16" s="29"/>
      <c r="GE16" s="29"/>
      <c r="GF16" s="29"/>
      <c r="GG16" s="29"/>
      <c r="GH16" s="29"/>
      <c r="GI16" s="29"/>
      <c r="GJ16" s="29"/>
      <c r="GK16" s="29"/>
      <c r="GL16" s="29"/>
      <c r="GM16" s="29"/>
      <c r="GN16" s="29"/>
      <c r="GO16" s="29"/>
      <c r="GP16" s="29"/>
      <c r="GQ16" s="29"/>
      <c r="GR16" s="29"/>
      <c r="GS16" s="29"/>
      <c r="GT16" s="29"/>
      <c r="GU16" s="29"/>
      <c r="GV16" s="29"/>
      <c r="GW16" s="29"/>
      <c r="GX16" s="29"/>
      <c r="GY16" s="29"/>
      <c r="GZ16" s="29"/>
      <c r="HA16" s="29"/>
      <c r="HB16" s="29"/>
      <c r="HC16" s="29"/>
      <c r="HD16" s="29"/>
      <c r="HE16" s="29"/>
      <c r="HF16" s="29"/>
      <c r="HG16" s="29"/>
      <c r="HH16" s="29"/>
      <c r="HI16" s="29"/>
      <c r="HJ16" s="29"/>
      <c r="HK16" s="29"/>
      <c r="HL16" s="29"/>
      <c r="HM16" s="29"/>
      <c r="HN16" s="29"/>
      <c r="HO16" s="29"/>
      <c r="HP16" s="29"/>
      <c r="HQ16" s="29"/>
      <c r="HR16" s="29"/>
      <c r="HS16" s="29"/>
      <c r="HT16" s="29"/>
      <c r="HU16" s="29"/>
      <c r="HV16" s="29"/>
      <c r="HW16" s="29"/>
      <c r="HX16" s="29"/>
      <c r="HY16" s="29"/>
      <c r="HZ16" s="29"/>
      <c r="IA16" s="29"/>
      <c r="IB16" s="29"/>
      <c r="IC16" s="29"/>
      <c r="ID16" s="29"/>
      <c r="IE16" s="29"/>
      <c r="IF16" s="29"/>
      <c r="IG16" s="29"/>
      <c r="IH16" s="29"/>
      <c r="II16" s="29"/>
      <c r="IJ16" s="29"/>
      <c r="IK16" s="29"/>
      <c r="IL16" s="29"/>
      <c r="IM16" s="29"/>
      <c r="IN16" s="29"/>
      <c r="IO16" s="29"/>
      <c r="IP16" s="29"/>
      <c r="IQ16" s="29"/>
      <c r="IR16" s="29"/>
      <c r="IS16" s="29"/>
      <c r="IT16" s="29"/>
      <c r="IU16" s="29"/>
      <c r="IV16" s="29"/>
    </row>
    <row r="17" spans="1:256" x14ac:dyDescent="0.2">
      <c r="A17" s="41" t="s">
        <v>123</v>
      </c>
      <c r="B17" s="41" t="e">
        <f>AND('Scoring Inquiry'!A1,"AAAAAC3v2gE=")</f>
        <v>#VALUE!</v>
      </c>
      <c r="C17" s="41" t="e">
        <f>AND('Scoring Inquiry'!B1,"AAAAAC3v2gI=")</f>
        <v>#VALUE!</v>
      </c>
      <c r="D17" s="41" t="e">
        <f>AND('Scoring Inquiry'!C1,"AAAAAC3v2gM=")</f>
        <v>#VALUE!</v>
      </c>
      <c r="E17" s="41" t="e">
        <f>AND('Scoring Inquiry'!D1,"AAAAAC3v2gQ=")</f>
        <v>#VALUE!</v>
      </c>
      <c r="F17" s="41" t="e">
        <f>AND('Scoring Inquiry'!E1,"AAAAAC3v2gU=")</f>
        <v>#VALUE!</v>
      </c>
      <c r="G17" s="41" t="e">
        <f>AND('Scoring Inquiry'!F1,"AAAAAC3v2gY=")</f>
        <v>#VALUE!</v>
      </c>
      <c r="H17" s="41" t="e">
        <f>AND('Scoring Inquiry'!G1,"AAAAAC3v2gc=")</f>
        <v>#VALUE!</v>
      </c>
      <c r="I17" s="41" t="e">
        <f>AND('Scoring Inquiry'!H1,"AAAAAC3v2gg=")</f>
        <v>#VALUE!</v>
      </c>
      <c r="J17" s="41" t="e">
        <f>AND('Scoring Inquiry'!I1,"AAAAAC3v2gk=")</f>
        <v>#VALUE!</v>
      </c>
      <c r="K17" s="41" t="e">
        <f>AND('Scoring Inquiry'!J1,"AAAAAC3v2go=")</f>
        <v>#VALUE!</v>
      </c>
      <c r="L17" s="41" t="e">
        <f>AND('Scoring Inquiry'!K1,"AAAAAC3v2gs=")</f>
        <v>#VALUE!</v>
      </c>
      <c r="M17" s="41">
        <v>0</v>
      </c>
      <c r="N17" s="41" t="e">
        <f>AND('Scoring Inquiry'!A2,"AAAAAC3v2g0=")</f>
        <v>#VALUE!</v>
      </c>
      <c r="O17" s="41" t="e">
        <f>AND('Scoring Inquiry'!B2,"AAAAAC3v2g4=")</f>
        <v>#VALUE!</v>
      </c>
      <c r="P17" s="41" t="e">
        <f>AND('Scoring Inquiry'!C2,"AAAAAC3v2g8=")</f>
        <v>#VALUE!</v>
      </c>
      <c r="Q17" s="41" t="e">
        <f>AND('Scoring Inquiry'!D2,"AAAAAC3v2hA=")</f>
        <v>#VALUE!</v>
      </c>
      <c r="R17" s="41" t="e">
        <f>AND('Scoring Inquiry'!E2,"AAAAAC3v2hE=")</f>
        <v>#VALUE!</v>
      </c>
      <c r="S17" s="41" t="e">
        <f>AND('Scoring Inquiry'!F2,"AAAAAC3v2hI=")</f>
        <v>#VALUE!</v>
      </c>
      <c r="T17" s="41" t="e">
        <f>AND('Scoring Inquiry'!G2,"AAAAAC3v2hM=")</f>
        <v>#VALUE!</v>
      </c>
      <c r="U17" s="41" t="e">
        <f>AND('Scoring Inquiry'!H2,"AAAAAC3v2hQ=")</f>
        <v>#VALUE!</v>
      </c>
      <c r="V17" s="41" t="e">
        <f>AND('Scoring Inquiry'!I2,"AAAAAC3v2hU=")</f>
        <v>#VALUE!</v>
      </c>
      <c r="W17" s="41" t="e">
        <f>AND('Scoring Inquiry'!J2,"AAAAAC3v2hY=")</f>
        <v>#VALUE!</v>
      </c>
      <c r="X17" s="41" t="e">
        <f>AND('Scoring Inquiry'!K2,"AAAAAC3v2hc=")</f>
        <v>#VALUE!</v>
      </c>
      <c r="Y17" s="41">
        <v>0</v>
      </c>
      <c r="Z17" s="41">
        <v>0</v>
      </c>
      <c r="AA17" s="41">
        <v>0</v>
      </c>
      <c r="AB17" s="41">
        <v>0</v>
      </c>
      <c r="AC17" s="41">
        <v>0</v>
      </c>
      <c r="AD17" s="41">
        <v>0</v>
      </c>
      <c r="AE17" s="41">
        <v>0</v>
      </c>
      <c r="AF17" s="41">
        <v>0</v>
      </c>
      <c r="AG17" s="41">
        <v>0</v>
      </c>
      <c r="AH17" s="41">
        <v>0</v>
      </c>
      <c r="AI17" s="41">
        <v>0</v>
      </c>
      <c r="AJ17" s="41">
        <v>0</v>
      </c>
      <c r="AK17" s="41" t="e">
        <f>AND(Skippers!A1,"AAAAAC3v2iQ=")</f>
        <v>#VALUE!</v>
      </c>
      <c r="AL17" s="41" t="s">
        <v>123</v>
      </c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29"/>
      <c r="FK17" s="29"/>
      <c r="FL17" s="29"/>
      <c r="FM17" s="29"/>
      <c r="FN17" s="29"/>
      <c r="FO17" s="29"/>
      <c r="FP17" s="29"/>
      <c r="FQ17" s="29"/>
      <c r="FR17" s="29"/>
      <c r="FS17" s="29"/>
      <c r="FT17" s="29"/>
      <c r="FU17" s="29"/>
      <c r="FV17" s="29"/>
      <c r="FW17" s="29"/>
      <c r="FX17" s="29"/>
      <c r="FY17" s="29"/>
      <c r="FZ17" s="29"/>
      <c r="GA17" s="29"/>
      <c r="GB17" s="29"/>
      <c r="GC17" s="29"/>
      <c r="GD17" s="29"/>
      <c r="GE17" s="29"/>
      <c r="GF17" s="29"/>
      <c r="GG17" s="29"/>
      <c r="GH17" s="29"/>
      <c r="GI17" s="29"/>
      <c r="GJ17" s="29"/>
      <c r="GK17" s="29"/>
      <c r="GL17" s="29"/>
      <c r="GM17" s="29"/>
      <c r="GN17" s="29"/>
      <c r="GO17" s="29"/>
      <c r="GP17" s="29"/>
      <c r="GQ17" s="29"/>
      <c r="GR17" s="29"/>
      <c r="GS17" s="29"/>
      <c r="GT17" s="29"/>
      <c r="GU17" s="29"/>
      <c r="GV17" s="29"/>
      <c r="GW17" s="29"/>
      <c r="GX17" s="29"/>
      <c r="GY17" s="29"/>
      <c r="GZ17" s="29"/>
      <c r="HA17" s="29"/>
      <c r="HB17" s="29"/>
      <c r="HC17" s="29"/>
      <c r="HD17" s="29"/>
      <c r="HE17" s="29"/>
      <c r="HF17" s="29"/>
      <c r="HG17" s="29"/>
      <c r="HH17" s="29"/>
      <c r="HI17" s="29"/>
      <c r="HJ17" s="29"/>
      <c r="HK17" s="29"/>
      <c r="HL17" s="29"/>
      <c r="HM17" s="29"/>
      <c r="HN17" s="29"/>
      <c r="HO17" s="29"/>
      <c r="HP17" s="29"/>
      <c r="HQ17" s="29"/>
      <c r="HR17" s="29"/>
      <c r="HS17" s="29"/>
      <c r="HT17" s="29"/>
      <c r="HU17" s="29"/>
      <c r="HV17" s="29"/>
      <c r="HW17" s="29"/>
      <c r="HX17" s="29"/>
      <c r="HY17" s="29"/>
      <c r="HZ17" s="29"/>
      <c r="IA17" s="29"/>
      <c r="IB17" s="29"/>
      <c r="IC17" s="29"/>
      <c r="ID17" s="29"/>
      <c r="IE17" s="29"/>
      <c r="IF17" s="29"/>
      <c r="IG17" s="29"/>
      <c r="IH17" s="29"/>
      <c r="II17" s="29"/>
      <c r="IJ17" s="29"/>
      <c r="IK17" s="29"/>
      <c r="IL17" s="29"/>
      <c r="IM17" s="29"/>
      <c r="IN17" s="29"/>
      <c r="IO17" s="29"/>
      <c r="IP17" s="29"/>
      <c r="IQ17" s="29"/>
      <c r="IR17" s="29"/>
      <c r="IS17" s="29"/>
      <c r="IT17" s="29"/>
      <c r="IU17" s="29"/>
      <c r="IV17" s="29"/>
    </row>
    <row r="18" spans="1:256" x14ac:dyDescent="0.2">
      <c r="A18" s="41" t="e">
        <f>AND('Race Kit'!E56,"AAAAAC3nzwA=")</f>
        <v>#VALUE!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  <c r="GA18" s="29"/>
      <c r="GB18" s="29"/>
      <c r="GC18" s="29"/>
      <c r="GD18" s="29"/>
      <c r="GE18" s="29"/>
      <c r="GF18" s="29"/>
      <c r="GG18" s="29"/>
      <c r="GH18" s="29"/>
      <c r="GI18" s="29"/>
      <c r="GJ18" s="29"/>
      <c r="GK18" s="29"/>
      <c r="GL18" s="29"/>
      <c r="GM18" s="29"/>
      <c r="GN18" s="29"/>
      <c r="GO18" s="29"/>
      <c r="GP18" s="29"/>
      <c r="GQ18" s="29"/>
      <c r="GR18" s="29"/>
      <c r="GS18" s="29"/>
      <c r="GT18" s="29"/>
      <c r="GU18" s="29"/>
      <c r="GV18" s="29"/>
      <c r="GW18" s="29"/>
      <c r="GX18" s="29"/>
      <c r="GY18" s="29"/>
      <c r="GZ18" s="29"/>
      <c r="HA18" s="29"/>
      <c r="HB18" s="29"/>
      <c r="HC18" s="29"/>
      <c r="HD18" s="29"/>
      <c r="HE18" s="29"/>
      <c r="HF18" s="29"/>
      <c r="HG18" s="29"/>
      <c r="HH18" s="29"/>
      <c r="HI18" s="29"/>
      <c r="HJ18" s="29"/>
      <c r="HK18" s="29"/>
      <c r="HL18" s="29"/>
      <c r="HM18" s="29"/>
      <c r="HN18" s="29"/>
      <c r="HO18" s="29"/>
      <c r="HP18" s="29"/>
      <c r="HQ18" s="29"/>
      <c r="HR18" s="29"/>
      <c r="HS18" s="29"/>
      <c r="HT18" s="29"/>
      <c r="HU18" s="29"/>
      <c r="HV18" s="29"/>
      <c r="HW18" s="29"/>
      <c r="HX18" s="29"/>
      <c r="HY18" s="29"/>
      <c r="HZ18" s="29"/>
      <c r="IA18" s="29"/>
      <c r="IB18" s="29"/>
      <c r="IC18" s="29"/>
      <c r="ID18" s="29"/>
      <c r="IE18" s="29"/>
      <c r="IF18" s="29"/>
      <c r="IG18" s="29"/>
      <c r="IH18" s="29"/>
      <c r="II18" s="29"/>
      <c r="IJ18" s="29"/>
      <c r="IK18" s="29"/>
      <c r="IL18" s="29"/>
      <c r="IM18" s="29"/>
      <c r="IN18" s="29"/>
      <c r="IO18" s="29"/>
      <c r="IP18" s="29"/>
      <c r="IQ18" s="29"/>
      <c r="IR18" s="29"/>
      <c r="IS18" s="29"/>
      <c r="IT18" s="29"/>
      <c r="IU18" s="29"/>
      <c r="IV18" s="29"/>
    </row>
    <row r="19" spans="1:256" x14ac:dyDescent="0.2">
      <c r="A19" s="41" t="e">
        <f>AND(Duty!O1,"AAAAAH//7QA=")</f>
        <v>#VALUE!</v>
      </c>
      <c r="B19" s="41" t="e">
        <f>AND(Duty!#REF!,"AAAAAH//7QE=")</f>
        <v>#REF!</v>
      </c>
      <c r="C19" s="41" t="e">
        <f>AND(Duty!#REF!,"AAAAAH//7QI=")</f>
        <v>#REF!</v>
      </c>
      <c r="D19" s="41" t="e">
        <f>AND(Duty!#REF!,"AAAAAH//7QM=")</f>
        <v>#REF!</v>
      </c>
      <c r="E19" s="41" t="e">
        <f>AND(Duty!#REF!,"AAAAAH//7QQ=")</f>
        <v>#REF!</v>
      </c>
      <c r="F19" s="41" t="e">
        <f>AND(Duty!#REF!,"AAAAAH//7QU=")</f>
        <v>#REF!</v>
      </c>
      <c r="G19" s="41" t="e">
        <f>AND(Duty!#REF!,"AAAAAH//7QY=")</f>
        <v>#REF!</v>
      </c>
      <c r="H19" s="41" t="e">
        <f>AND(Duty!#REF!,"AAAAAH//7Qc=")</f>
        <v>#REF!</v>
      </c>
      <c r="I19" s="41" t="e">
        <f>AND(Duty!#REF!,"AAAAAH//7Qg=")</f>
        <v>#REF!</v>
      </c>
      <c r="J19" s="41" t="e">
        <f>AND(Duty!#REF!,"AAAAAH//7Qk=")</f>
        <v>#REF!</v>
      </c>
      <c r="K19" s="41" t="e">
        <f>AND(Duty!#REF!,"AAAAAH//7Qo=")</f>
        <v>#REF!</v>
      </c>
      <c r="L19" s="41" t="e">
        <f>AND(Duty!#REF!,"AAAAAH//7Qs=")</f>
        <v>#REF!</v>
      </c>
      <c r="M19" s="41" t="e">
        <f>AND(Duty!#REF!,"AAAAAH//7Qw=")</f>
        <v>#REF!</v>
      </c>
      <c r="N19" s="41" t="e">
        <f>AND(Duty!#REF!,"AAAAAH//7Q0=")</f>
        <v>#REF!</v>
      </c>
      <c r="O19" s="41" t="e">
        <f>AND(Duty!#REF!,"AAAAAH//7Q4=")</f>
        <v>#REF!</v>
      </c>
      <c r="P19" s="41" t="e">
        <f>AND(Duty!#REF!,"AAAAAH//7Q8=")</f>
        <v>#REF!</v>
      </c>
      <c r="Q19" s="41" t="e">
        <f>AND(Duty!#REF!,"AAAAAH//7RA=")</f>
        <v>#REF!</v>
      </c>
      <c r="R19" s="41" t="e">
        <f>AND(Duty!#REF!,"AAAAAH//7RE=")</f>
        <v>#REF!</v>
      </c>
      <c r="S19" s="41" t="e">
        <f>AND(Duty!#REF!,"AAAAAH//7RI=")</f>
        <v>#REF!</v>
      </c>
      <c r="T19" s="41" t="e">
        <f>AND(Duty!#REF!,"AAAAAH//7RM=")</f>
        <v>#REF!</v>
      </c>
      <c r="U19" s="41" t="e">
        <f>AND(Duty!#REF!,"AAAAAH//7RQ=")</f>
        <v>#REF!</v>
      </c>
      <c r="V19" s="41" t="e">
        <f>AND(Duty!#REF!,"AAAAAH//7RU=")</f>
        <v>#REF!</v>
      </c>
      <c r="W19" s="41" t="e">
        <f>AND(Duty!#REF!,"AAAAAH//7RY=")</f>
        <v>#REF!</v>
      </c>
      <c r="X19" s="41" t="e">
        <f>AND(Duty!#REF!,"AAAAAH//7Rc=")</f>
        <v>#REF!</v>
      </c>
      <c r="Y19" s="41" t="e">
        <f>AND(Duty!#REF!,"AAAAAH//7Rg=")</f>
        <v>#REF!</v>
      </c>
      <c r="Z19" s="41" t="e">
        <f>AND(Duty!#REF!,"AAAAAH//7Rk=")</f>
        <v>#REF!</v>
      </c>
      <c r="AA19" s="41" t="e">
        <f>AND(Duty!#REF!,"AAAAAH//7Ro=")</f>
        <v>#REF!</v>
      </c>
      <c r="AB19" s="41" t="e">
        <f>AND(Duty!#REF!,"AAAAAH//7Rs=")</f>
        <v>#REF!</v>
      </c>
      <c r="AC19" s="41" t="e">
        <f>AND(Duty!#REF!,"AAAAAH//7Rw=")</f>
        <v>#REF!</v>
      </c>
      <c r="AD19" s="41" t="e">
        <f>AND(Duty!#REF!,"AAAAAH//7R0=")</f>
        <v>#REF!</v>
      </c>
      <c r="AE19" s="41" t="e">
        <f>AND(Duty!#REF!,"AAAAAH//7R4=")</f>
        <v>#REF!</v>
      </c>
      <c r="AF19" s="41">
        <v>0</v>
      </c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  <c r="EY19" s="29"/>
      <c r="EZ19" s="29"/>
      <c r="FA19" s="29"/>
      <c r="FB19" s="29"/>
      <c r="FC19" s="29"/>
      <c r="FD19" s="29"/>
      <c r="FE19" s="29"/>
      <c r="FF19" s="29"/>
      <c r="FG19" s="29"/>
      <c r="FH19" s="29"/>
      <c r="FI19" s="29"/>
      <c r="FJ19" s="29"/>
      <c r="FK19" s="29"/>
      <c r="FL19" s="29"/>
      <c r="FM19" s="29"/>
      <c r="FN19" s="29"/>
      <c r="FO19" s="29"/>
      <c r="FP19" s="29"/>
      <c r="FQ19" s="29"/>
      <c r="FR19" s="29"/>
      <c r="FS19" s="29"/>
      <c r="FT19" s="29"/>
      <c r="FU19" s="29"/>
      <c r="FV19" s="29"/>
      <c r="FW19" s="29"/>
      <c r="FX19" s="29"/>
      <c r="FY19" s="29"/>
      <c r="FZ19" s="29"/>
      <c r="GA19" s="29"/>
      <c r="GB19" s="29"/>
      <c r="GC19" s="29"/>
      <c r="GD19" s="29"/>
      <c r="GE19" s="29"/>
      <c r="GF19" s="29"/>
      <c r="GG19" s="29"/>
      <c r="GH19" s="29"/>
      <c r="GI19" s="29"/>
      <c r="GJ19" s="29"/>
      <c r="GK19" s="29"/>
      <c r="GL19" s="29"/>
      <c r="GM19" s="29"/>
      <c r="GN19" s="29"/>
      <c r="GO19" s="29"/>
      <c r="GP19" s="29"/>
      <c r="GQ19" s="29"/>
      <c r="GR19" s="29"/>
      <c r="GS19" s="29"/>
      <c r="GT19" s="29"/>
      <c r="GU19" s="29"/>
      <c r="GV19" s="29"/>
      <c r="GW19" s="29"/>
      <c r="GX19" s="29"/>
      <c r="GY19" s="29"/>
      <c r="GZ19" s="29"/>
      <c r="HA19" s="29"/>
      <c r="HB19" s="29"/>
      <c r="HC19" s="29"/>
      <c r="HD19" s="29"/>
      <c r="HE19" s="29"/>
      <c r="HF19" s="29"/>
      <c r="HG19" s="29"/>
      <c r="HH19" s="29"/>
      <c r="HI19" s="29"/>
      <c r="HJ19" s="29"/>
      <c r="HK19" s="29"/>
      <c r="HL19" s="29"/>
      <c r="HM19" s="29"/>
      <c r="HN19" s="29"/>
      <c r="HO19" s="29"/>
      <c r="HP19" s="29"/>
      <c r="HQ19" s="29"/>
      <c r="HR19" s="29"/>
      <c r="HS19" s="29"/>
      <c r="HT19" s="29"/>
      <c r="HU19" s="29"/>
      <c r="HV19" s="29"/>
      <c r="HW19" s="29"/>
      <c r="HX19" s="29"/>
      <c r="HY19" s="29"/>
      <c r="HZ19" s="29"/>
      <c r="IA19" s="29"/>
      <c r="IB19" s="29"/>
      <c r="IC19" s="29"/>
      <c r="ID19" s="29"/>
      <c r="IE19" s="29"/>
      <c r="IF19" s="29"/>
      <c r="IG19" s="29"/>
      <c r="IH19" s="29"/>
      <c r="II19" s="29"/>
      <c r="IJ19" s="29"/>
      <c r="IK19" s="29"/>
      <c r="IL19" s="29"/>
      <c r="IM19" s="29"/>
      <c r="IN19" s="29"/>
      <c r="IO19" s="29"/>
      <c r="IP19" s="29"/>
      <c r="IQ19" s="29"/>
      <c r="IR19" s="29"/>
      <c r="IS19" s="29"/>
      <c r="IT19" s="29"/>
      <c r="IU19" s="29"/>
      <c r="IV19" s="29"/>
    </row>
    <row r="20" spans="1:256" x14ac:dyDescent="0.2">
      <c r="A20" s="41" t="e">
        <f>IF("N",ROARS!_xlnm._FilterDatabase,"AAAAAH393wA=")</f>
        <v>#VALUE!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  <c r="EY20" s="29"/>
      <c r="EZ20" s="29"/>
      <c r="FA20" s="29"/>
      <c r="FB20" s="29"/>
      <c r="FC20" s="29"/>
      <c r="FD20" s="29"/>
      <c r="FE20" s="29"/>
      <c r="FF20" s="29"/>
      <c r="FG20" s="29"/>
      <c r="FH20" s="29"/>
      <c r="FI20" s="29"/>
      <c r="FJ20" s="29"/>
      <c r="FK20" s="29"/>
      <c r="FL20" s="29"/>
      <c r="FM20" s="29"/>
      <c r="FN20" s="29"/>
      <c r="FO20" s="29"/>
      <c r="FP20" s="29"/>
      <c r="FQ20" s="29"/>
      <c r="FR20" s="29"/>
      <c r="FS20" s="29"/>
      <c r="FT20" s="29"/>
      <c r="FU20" s="29"/>
      <c r="FV20" s="29"/>
      <c r="FW20" s="29"/>
      <c r="FX20" s="29"/>
      <c r="FY20" s="29"/>
      <c r="FZ20" s="29"/>
      <c r="GA20" s="29"/>
      <c r="GB20" s="29"/>
      <c r="GC20" s="29"/>
      <c r="GD20" s="29"/>
      <c r="GE20" s="29"/>
      <c r="GF20" s="29"/>
      <c r="GG20" s="29"/>
      <c r="GH20" s="29"/>
      <c r="GI20" s="29"/>
      <c r="GJ20" s="29"/>
      <c r="GK20" s="29"/>
      <c r="GL20" s="29"/>
      <c r="GM20" s="29"/>
      <c r="GN20" s="29"/>
      <c r="GO20" s="29"/>
      <c r="GP20" s="29"/>
      <c r="GQ20" s="29"/>
      <c r="GR20" s="29"/>
      <c r="GS20" s="29"/>
      <c r="GT20" s="29"/>
      <c r="GU20" s="29"/>
      <c r="GV20" s="29"/>
      <c r="GW20" s="29"/>
      <c r="GX20" s="29"/>
      <c r="GY20" s="29"/>
      <c r="GZ20" s="29"/>
      <c r="HA20" s="29"/>
      <c r="HB20" s="29"/>
      <c r="HC20" s="29"/>
      <c r="HD20" s="29"/>
      <c r="HE20" s="29"/>
      <c r="HF20" s="29"/>
      <c r="HG20" s="29"/>
      <c r="HH20" s="29"/>
      <c r="HI20" s="29"/>
      <c r="HJ20" s="29"/>
      <c r="HK20" s="29"/>
      <c r="HL20" s="29"/>
      <c r="HM20" s="29"/>
      <c r="HN20" s="29"/>
      <c r="HO20" s="29"/>
      <c r="HP20" s="29"/>
      <c r="HQ20" s="29"/>
      <c r="HR20" s="29"/>
      <c r="HS20" s="29"/>
      <c r="HT20" s="29"/>
      <c r="HU20" s="29"/>
      <c r="HV20" s="29"/>
      <c r="HW20" s="29"/>
      <c r="HX20" s="29"/>
      <c r="HY20" s="29"/>
      <c r="HZ20" s="29"/>
      <c r="IA20" s="29"/>
      <c r="IB20" s="29"/>
      <c r="IC20" s="29"/>
      <c r="ID20" s="29"/>
      <c r="IE20" s="29"/>
      <c r="IF20" s="29"/>
      <c r="IG20" s="29"/>
      <c r="IH20" s="29"/>
      <c r="II20" s="29"/>
      <c r="IJ20" s="29"/>
      <c r="IK20" s="29"/>
      <c r="IL20" s="29"/>
      <c r="IM20" s="29"/>
      <c r="IN20" s="29"/>
      <c r="IO20" s="29"/>
      <c r="IP20" s="29"/>
      <c r="IQ20" s="29"/>
      <c r="IR20" s="29"/>
      <c r="IS20" s="29"/>
      <c r="IT20" s="29"/>
      <c r="IU20" s="29"/>
      <c r="IV20" s="29"/>
    </row>
    <row r="21" spans="1:256" x14ac:dyDescent="0.2">
      <c r="A21" s="41" t="e">
        <f>AND(Skippers!C1,"AAAAAH155wA=")</f>
        <v>#VALUE!</v>
      </c>
      <c r="B21" s="41" t="e">
        <f>AND(Skippers!D1,"AAAAAH155wE=")</f>
        <v>#VALUE!</v>
      </c>
      <c r="C21" s="41" t="e">
        <f>AND(Skippers!E1,"AAAAAH155wI=")</f>
        <v>#VALUE!</v>
      </c>
      <c r="D21" s="41" t="e">
        <f>AND(Skippers!F1,"AAAAAH155wM=")</f>
        <v>#VALUE!</v>
      </c>
      <c r="E21" s="41" t="e">
        <f>AND(Skippers!I1,"AAAAAH155wQ=")</f>
        <v>#VALUE!</v>
      </c>
      <c r="F21" s="41" t="e">
        <f>AND(Skippers!J1,"AAAAAH155wU=")</f>
        <v>#VALUE!</v>
      </c>
      <c r="G21" s="41" t="s">
        <v>133</v>
      </c>
      <c r="H21" s="41" t="e">
        <f>AND(Skippers!A3,"AAAAAH155wc=")</f>
        <v>#VALUE!</v>
      </c>
      <c r="I21" s="41" t="e">
        <f>AND(Skippers!C3,"AAAAAH155wg=")</f>
        <v>#VALUE!</v>
      </c>
      <c r="J21" s="41" t="e">
        <f>AND(Skippers!D3,"AAAAAH155wk=")</f>
        <v>#VALUE!</v>
      </c>
      <c r="K21" s="41" t="e">
        <f>AND(Skippers!E3,"AAAAAH155wo=")</f>
        <v>#VALUE!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29"/>
      <c r="EW21" s="29"/>
      <c r="EX21" s="29"/>
      <c r="EY21" s="29"/>
      <c r="EZ21" s="29"/>
      <c r="FA21" s="29"/>
      <c r="FB21" s="29"/>
      <c r="FC21" s="29"/>
      <c r="FD21" s="29"/>
      <c r="FE21" s="29"/>
      <c r="FF21" s="29"/>
      <c r="FG21" s="29"/>
      <c r="FH21" s="29"/>
      <c r="FI21" s="29"/>
      <c r="FJ21" s="29"/>
      <c r="FK21" s="29"/>
      <c r="FL21" s="29"/>
      <c r="FM21" s="29"/>
      <c r="FN21" s="29"/>
      <c r="FO21" s="29"/>
      <c r="FP21" s="29"/>
      <c r="FQ21" s="29"/>
      <c r="FR21" s="29"/>
      <c r="FS21" s="29"/>
      <c r="FT21" s="29"/>
      <c r="FU21" s="29"/>
      <c r="FV21" s="29"/>
      <c r="FW21" s="29"/>
      <c r="FX21" s="29"/>
      <c r="FY21" s="29"/>
      <c r="FZ21" s="29"/>
      <c r="GA21" s="29"/>
      <c r="GB21" s="29"/>
      <c r="GC21" s="29"/>
      <c r="GD21" s="29"/>
      <c r="GE21" s="29"/>
      <c r="GF21" s="29"/>
      <c r="GG21" s="29"/>
      <c r="GH21" s="29"/>
      <c r="GI21" s="29"/>
      <c r="GJ21" s="29"/>
      <c r="GK21" s="29"/>
      <c r="GL21" s="29"/>
      <c r="GM21" s="29"/>
      <c r="GN21" s="29"/>
      <c r="GO21" s="29"/>
      <c r="GP21" s="29"/>
      <c r="GQ21" s="29"/>
      <c r="GR21" s="29"/>
      <c r="GS21" s="29"/>
      <c r="GT21" s="29"/>
      <c r="GU21" s="29"/>
      <c r="GV21" s="29"/>
      <c r="GW21" s="29"/>
      <c r="GX21" s="29"/>
      <c r="GY21" s="29"/>
      <c r="GZ21" s="29"/>
      <c r="HA21" s="29"/>
      <c r="HB21" s="29"/>
      <c r="HC21" s="29"/>
      <c r="HD21" s="29"/>
      <c r="HE21" s="29"/>
      <c r="HF21" s="29"/>
      <c r="HG21" s="29"/>
      <c r="HH21" s="29"/>
      <c r="HI21" s="29"/>
      <c r="HJ21" s="29"/>
      <c r="HK21" s="29"/>
      <c r="HL21" s="29"/>
      <c r="HM21" s="29"/>
      <c r="HN21" s="29"/>
      <c r="HO21" s="29"/>
      <c r="HP21" s="29"/>
      <c r="HQ21" s="29"/>
      <c r="HR21" s="29"/>
      <c r="HS21" s="29"/>
      <c r="HT21" s="29"/>
      <c r="HU21" s="29"/>
      <c r="HV21" s="29"/>
      <c r="HW21" s="29"/>
      <c r="HX21" s="29"/>
      <c r="HY21" s="29"/>
      <c r="HZ21" s="29"/>
      <c r="IA21" s="29"/>
      <c r="IB21" s="29"/>
      <c r="IC21" s="29"/>
      <c r="ID21" s="29"/>
      <c r="IE21" s="29"/>
      <c r="IF21" s="29"/>
      <c r="IG21" s="29"/>
      <c r="IH21" s="29"/>
      <c r="II21" s="29"/>
      <c r="IJ21" s="29"/>
      <c r="IK21" s="29"/>
      <c r="IL21" s="29"/>
      <c r="IM21" s="29"/>
      <c r="IN21" s="29"/>
      <c r="IO21" s="29"/>
      <c r="IP21" s="29"/>
      <c r="IQ21" s="29"/>
      <c r="IR21" s="29"/>
      <c r="IS21" s="29"/>
      <c r="IT21" s="29"/>
      <c r="IU21" s="29"/>
      <c r="IV21" s="29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opLeftCell="A22" workbookViewId="0">
      <selection activeCell="D8" sqref="D8"/>
    </sheetView>
  </sheetViews>
  <sheetFormatPr defaultColWidth="8.7109375" defaultRowHeight="12.75" customHeight="1" x14ac:dyDescent="0.2"/>
  <cols>
    <col min="1" max="1" width="54.85546875" customWidth="1"/>
    <col min="2" max="2" width="21.7109375" customWidth="1"/>
    <col min="3" max="3" width="8.5703125" customWidth="1"/>
    <col min="4" max="4" width="6.28515625" customWidth="1"/>
    <col min="5" max="5" width="46.28515625" customWidth="1"/>
  </cols>
  <sheetData>
    <row r="1" spans="1:6" x14ac:dyDescent="0.2">
      <c r="A1" s="1" t="s">
        <v>134</v>
      </c>
      <c r="B1" s="1" t="s">
        <v>135</v>
      </c>
      <c r="C1" s="1" t="s">
        <v>106</v>
      </c>
      <c r="D1" s="1" t="s">
        <v>136</v>
      </c>
      <c r="E1" s="1" t="s">
        <v>4</v>
      </c>
      <c r="F1" s="29"/>
    </row>
    <row r="2" spans="1:6" x14ac:dyDescent="0.2">
      <c r="A2" s="41" t="s">
        <v>137</v>
      </c>
      <c r="B2" s="41" t="s">
        <v>138</v>
      </c>
      <c r="C2" s="41">
        <v>2</v>
      </c>
      <c r="D2" s="41">
        <v>15</v>
      </c>
      <c r="E2" s="41" t="s">
        <v>139</v>
      </c>
      <c r="F2" s="29"/>
    </row>
    <row r="3" spans="1:6" x14ac:dyDescent="0.2">
      <c r="A3" s="41" t="s">
        <v>879</v>
      </c>
      <c r="B3" s="41">
        <v>91</v>
      </c>
      <c r="C3" s="41">
        <v>1</v>
      </c>
      <c r="D3" s="41">
        <v>200</v>
      </c>
      <c r="E3" s="41" t="s">
        <v>844</v>
      </c>
      <c r="F3" s="29"/>
    </row>
    <row r="4" spans="1:6" x14ac:dyDescent="0.2">
      <c r="A4" s="41" t="s">
        <v>140</v>
      </c>
      <c r="B4" s="41" t="s">
        <v>138</v>
      </c>
      <c r="C4" s="41">
        <v>1</v>
      </c>
      <c r="D4" s="41">
        <v>100</v>
      </c>
      <c r="E4" s="29"/>
      <c r="F4" s="29"/>
    </row>
    <row r="5" spans="1:6" x14ac:dyDescent="0.2">
      <c r="A5" s="41" t="s">
        <v>141</v>
      </c>
      <c r="B5" s="41" t="s">
        <v>138</v>
      </c>
      <c r="C5" s="41">
        <v>1</v>
      </c>
      <c r="D5" s="41">
        <v>5</v>
      </c>
      <c r="E5" s="41" t="s">
        <v>142</v>
      </c>
      <c r="F5" s="29"/>
    </row>
    <row r="6" spans="1:6" x14ac:dyDescent="0.2">
      <c r="A6" s="41" t="s">
        <v>143</v>
      </c>
      <c r="B6" s="41" t="s">
        <v>144</v>
      </c>
      <c r="C6" s="29"/>
      <c r="D6" s="29"/>
      <c r="E6" s="41" t="s">
        <v>145</v>
      </c>
      <c r="F6" s="29"/>
    </row>
    <row r="7" spans="1:6" x14ac:dyDescent="0.2">
      <c r="A7" s="41" t="s">
        <v>146</v>
      </c>
      <c r="B7" s="41">
        <v>91</v>
      </c>
      <c r="C7" s="41">
        <v>1</v>
      </c>
      <c r="D7" s="41">
        <v>20</v>
      </c>
      <c r="E7" s="29"/>
      <c r="F7" s="29"/>
    </row>
    <row r="8" spans="1:6" x14ac:dyDescent="0.2">
      <c r="A8" s="41" t="s">
        <v>147</v>
      </c>
      <c r="B8" s="41" t="s">
        <v>148</v>
      </c>
      <c r="C8" s="41">
        <v>1</v>
      </c>
      <c r="D8" s="29"/>
      <c r="E8" s="41" t="s">
        <v>149</v>
      </c>
      <c r="F8" s="29"/>
    </row>
    <row r="9" spans="1:6" x14ac:dyDescent="0.2">
      <c r="A9" s="41" t="s">
        <v>150</v>
      </c>
      <c r="B9" s="41" t="s">
        <v>138</v>
      </c>
      <c r="C9" s="41">
        <v>1</v>
      </c>
      <c r="D9" s="41">
        <v>5</v>
      </c>
      <c r="E9" s="29"/>
      <c r="F9" s="29"/>
    </row>
    <row r="10" spans="1:6" x14ac:dyDescent="0.2">
      <c r="A10" s="41" t="s">
        <v>151</v>
      </c>
      <c r="B10" s="41" t="s">
        <v>138</v>
      </c>
      <c r="C10" s="41">
        <v>1</v>
      </c>
      <c r="D10" s="41">
        <v>100</v>
      </c>
      <c r="E10" s="29"/>
      <c r="F10" s="29"/>
    </row>
    <row r="11" spans="1:6" x14ac:dyDescent="0.2">
      <c r="A11" s="41" t="s">
        <v>152</v>
      </c>
      <c r="B11" s="41" t="s">
        <v>153</v>
      </c>
      <c r="C11" s="29"/>
      <c r="D11" s="29"/>
      <c r="E11" s="41" t="s">
        <v>880</v>
      </c>
      <c r="F11" s="29"/>
    </row>
    <row r="12" spans="1:6" x14ac:dyDescent="0.2">
      <c r="A12" s="41" t="s">
        <v>154</v>
      </c>
      <c r="B12" s="41" t="s">
        <v>138</v>
      </c>
      <c r="C12" s="41">
        <v>1</v>
      </c>
      <c r="D12" s="41">
        <v>3</v>
      </c>
      <c r="E12" s="29"/>
      <c r="F12" s="29"/>
    </row>
    <row r="13" spans="1:6" x14ac:dyDescent="0.2">
      <c r="A13" s="41" t="s">
        <v>155</v>
      </c>
      <c r="B13" s="41" t="s">
        <v>138</v>
      </c>
      <c r="C13" s="41">
        <v>1</v>
      </c>
      <c r="D13" s="41">
        <v>5</v>
      </c>
      <c r="E13" s="41" t="s">
        <v>156</v>
      </c>
      <c r="F13" s="29"/>
    </row>
    <row r="14" spans="1:6" x14ac:dyDescent="0.2">
      <c r="A14" s="41" t="s">
        <v>881</v>
      </c>
      <c r="B14" s="41" t="s">
        <v>138</v>
      </c>
      <c r="C14" s="41">
        <v>1</v>
      </c>
      <c r="D14" s="41">
        <v>10</v>
      </c>
      <c r="E14" s="29"/>
      <c r="F14" s="29"/>
    </row>
    <row r="15" spans="1:6" x14ac:dyDescent="0.2">
      <c r="A15" s="41" t="s">
        <v>157</v>
      </c>
      <c r="B15" s="41" t="s">
        <v>148</v>
      </c>
      <c r="C15" s="41">
        <v>1</v>
      </c>
      <c r="D15" s="29"/>
      <c r="E15" s="41" t="s">
        <v>158</v>
      </c>
      <c r="F15" s="29"/>
    </row>
    <row r="16" spans="1:6" x14ac:dyDescent="0.2">
      <c r="A16" s="41" t="s">
        <v>159</v>
      </c>
      <c r="B16" s="41" t="s">
        <v>148</v>
      </c>
      <c r="C16" s="41">
        <v>1</v>
      </c>
      <c r="D16" s="29"/>
      <c r="E16" s="41" t="s">
        <v>882</v>
      </c>
      <c r="F16" s="29"/>
    </row>
    <row r="17" spans="1:6" x14ac:dyDescent="0.2">
      <c r="A17" s="41" t="s">
        <v>160</v>
      </c>
      <c r="B17" s="41" t="s">
        <v>161</v>
      </c>
      <c r="C17" s="41">
        <v>1</v>
      </c>
      <c r="D17" s="41">
        <v>75</v>
      </c>
      <c r="E17" s="41" t="s">
        <v>845</v>
      </c>
      <c r="F17" s="29"/>
    </row>
    <row r="18" spans="1:6" x14ac:dyDescent="0.2">
      <c r="A18" s="41" t="s">
        <v>162</v>
      </c>
      <c r="B18" s="41" t="s">
        <v>138</v>
      </c>
      <c r="C18" s="41">
        <v>11</v>
      </c>
      <c r="D18" s="29"/>
      <c r="E18" s="41" t="s">
        <v>163</v>
      </c>
      <c r="F18" s="29"/>
    </row>
    <row r="19" spans="1:6" x14ac:dyDescent="0.2">
      <c r="A19" s="41" t="s">
        <v>164</v>
      </c>
      <c r="B19" s="41" t="s">
        <v>138</v>
      </c>
      <c r="C19" s="41">
        <v>1</v>
      </c>
      <c r="D19" s="29"/>
      <c r="E19" s="41" t="s">
        <v>165</v>
      </c>
      <c r="F19" s="29"/>
    </row>
    <row r="20" spans="1:6" x14ac:dyDescent="0.2">
      <c r="A20" s="41" t="s">
        <v>166</v>
      </c>
      <c r="B20" s="41">
        <v>91</v>
      </c>
      <c r="C20" s="41">
        <v>1</v>
      </c>
      <c r="D20" s="41">
        <v>100</v>
      </c>
      <c r="E20" s="41" t="s">
        <v>167</v>
      </c>
      <c r="F20" s="29"/>
    </row>
    <row r="21" spans="1:6" x14ac:dyDescent="0.2">
      <c r="A21" s="41" t="s">
        <v>168</v>
      </c>
      <c r="B21" s="41">
        <v>91</v>
      </c>
      <c r="C21" s="41">
        <v>1</v>
      </c>
      <c r="D21" s="41">
        <v>100</v>
      </c>
      <c r="E21" s="41" t="s">
        <v>167</v>
      </c>
      <c r="F21" s="29"/>
    </row>
    <row r="22" spans="1:6" x14ac:dyDescent="0.2">
      <c r="A22" s="41" t="s">
        <v>169</v>
      </c>
      <c r="B22" s="41">
        <v>91</v>
      </c>
      <c r="C22" s="41">
        <v>1</v>
      </c>
      <c r="D22" s="41">
        <v>10</v>
      </c>
      <c r="E22" s="41" t="s">
        <v>846</v>
      </c>
      <c r="F22" s="29"/>
    </row>
    <row r="23" spans="1:6" x14ac:dyDescent="0.2">
      <c r="A23" s="41" t="s">
        <v>171</v>
      </c>
      <c r="B23" s="41">
        <v>91</v>
      </c>
      <c r="C23" s="41">
        <v>1</v>
      </c>
      <c r="D23" s="41">
        <v>25</v>
      </c>
      <c r="E23" s="41" t="s">
        <v>846</v>
      </c>
      <c r="F23" s="29"/>
    </row>
    <row r="24" spans="1:6" x14ac:dyDescent="0.2">
      <c r="A24" s="41" t="s">
        <v>172</v>
      </c>
      <c r="B24" s="41">
        <v>91</v>
      </c>
      <c r="C24" s="41">
        <v>1</v>
      </c>
      <c r="D24" s="41">
        <v>20</v>
      </c>
      <c r="E24" s="41" t="s">
        <v>173</v>
      </c>
      <c r="F24" s="29"/>
    </row>
    <row r="25" spans="1:6" x14ac:dyDescent="0.2">
      <c r="A25" s="41" t="s">
        <v>174</v>
      </c>
      <c r="B25" s="41">
        <v>91</v>
      </c>
      <c r="C25" s="41">
        <v>1</v>
      </c>
      <c r="D25" s="41">
        <v>10</v>
      </c>
      <c r="E25" s="41" t="s">
        <v>846</v>
      </c>
      <c r="F25" s="29"/>
    </row>
    <row r="26" spans="1:6" x14ac:dyDescent="0.2">
      <c r="A26" s="41" t="s">
        <v>175</v>
      </c>
      <c r="B26" s="41">
        <v>91</v>
      </c>
      <c r="C26" s="41">
        <v>1</v>
      </c>
      <c r="D26" s="41">
        <v>10</v>
      </c>
      <c r="E26" s="41" t="s">
        <v>849</v>
      </c>
      <c r="F26" s="29"/>
    </row>
    <row r="27" spans="1:6" x14ac:dyDescent="0.2">
      <c r="A27" s="41" t="s">
        <v>176</v>
      </c>
      <c r="B27" s="41">
        <v>91</v>
      </c>
      <c r="C27" s="41">
        <v>1</v>
      </c>
      <c r="D27" s="41">
        <v>10</v>
      </c>
      <c r="E27" s="41" t="s">
        <v>170</v>
      </c>
      <c r="F27" s="29"/>
    </row>
    <row r="28" spans="1:6" x14ac:dyDescent="0.2">
      <c r="A28" s="41" t="s">
        <v>177</v>
      </c>
      <c r="B28" s="41">
        <v>91</v>
      </c>
      <c r="C28" s="41">
        <v>1</v>
      </c>
      <c r="D28" s="41">
        <v>10</v>
      </c>
      <c r="E28" s="41" t="s">
        <v>846</v>
      </c>
      <c r="F28" s="29"/>
    </row>
    <row r="29" spans="1:6" x14ac:dyDescent="0.2">
      <c r="A29" s="41" t="s">
        <v>178</v>
      </c>
      <c r="B29" s="41">
        <v>91</v>
      </c>
      <c r="C29" s="41">
        <v>1</v>
      </c>
      <c r="D29" s="41">
        <v>10</v>
      </c>
      <c r="E29" s="41" t="s">
        <v>179</v>
      </c>
      <c r="F29" s="29"/>
    </row>
    <row r="30" spans="1:6" x14ac:dyDescent="0.2">
      <c r="A30" s="41" t="s">
        <v>180</v>
      </c>
      <c r="B30" s="41" t="s">
        <v>144</v>
      </c>
      <c r="C30" s="29"/>
      <c r="D30" s="29"/>
      <c r="E30" s="41" t="s">
        <v>181</v>
      </c>
      <c r="F30" s="29"/>
    </row>
    <row r="31" spans="1:6" x14ac:dyDescent="0.2">
      <c r="A31" s="41" t="s">
        <v>182</v>
      </c>
      <c r="B31" s="41" t="s">
        <v>153</v>
      </c>
      <c r="C31" s="29"/>
      <c r="D31" s="29"/>
      <c r="E31" s="41" t="s">
        <v>183</v>
      </c>
      <c r="F31" s="29"/>
    </row>
    <row r="32" spans="1:6" x14ac:dyDescent="0.2">
      <c r="A32" s="41" t="s">
        <v>184</v>
      </c>
      <c r="B32" s="41" t="s">
        <v>138</v>
      </c>
      <c r="C32" s="41">
        <v>1</v>
      </c>
      <c r="D32" s="29"/>
      <c r="E32" s="41" t="s">
        <v>156</v>
      </c>
      <c r="F32" s="29"/>
    </row>
    <row r="33" spans="1:6" x14ac:dyDescent="0.2">
      <c r="A33" s="41" t="s">
        <v>185</v>
      </c>
      <c r="B33" s="41" t="s">
        <v>161</v>
      </c>
      <c r="C33" s="41">
        <v>1</v>
      </c>
      <c r="D33" s="41">
        <v>50</v>
      </c>
      <c r="E33" s="29" t="s">
        <v>847</v>
      </c>
      <c r="F33" s="29"/>
    </row>
    <row r="34" spans="1:6" x14ac:dyDescent="0.2">
      <c r="A34" s="41" t="s">
        <v>186</v>
      </c>
      <c r="B34" s="41" t="s">
        <v>148</v>
      </c>
      <c r="C34" s="41">
        <v>1</v>
      </c>
      <c r="D34" s="29"/>
      <c r="E34" s="29"/>
      <c r="F34" s="29"/>
    </row>
    <row r="35" spans="1:6" x14ac:dyDescent="0.2">
      <c r="A35" s="147" t="s">
        <v>187</v>
      </c>
      <c r="B35" s="41" t="s">
        <v>138</v>
      </c>
      <c r="C35" s="41">
        <v>1</v>
      </c>
      <c r="D35" s="41">
        <v>750</v>
      </c>
      <c r="E35" s="146" t="s">
        <v>848</v>
      </c>
      <c r="F35" s="29"/>
    </row>
    <row r="36" spans="1:6" x14ac:dyDescent="0.2">
      <c r="A36" s="41" t="s">
        <v>188</v>
      </c>
      <c r="B36" s="41" t="s">
        <v>138</v>
      </c>
      <c r="C36" s="41">
        <v>1</v>
      </c>
      <c r="D36" s="29"/>
      <c r="E36" s="41" t="s">
        <v>156</v>
      </c>
      <c r="F36" s="29"/>
    </row>
    <row r="37" spans="1:6" x14ac:dyDescent="0.2">
      <c r="A37" s="148" t="s">
        <v>883</v>
      </c>
      <c r="B37" s="41">
        <v>91</v>
      </c>
      <c r="C37" s="41">
        <v>1</v>
      </c>
      <c r="D37" s="29">
        <v>100</v>
      </c>
      <c r="E37" s="148" t="s">
        <v>850</v>
      </c>
      <c r="F37" s="29"/>
    </row>
    <row r="38" spans="1:6" x14ac:dyDescent="0.2">
      <c r="A38" s="41" t="s">
        <v>189</v>
      </c>
      <c r="B38" s="41" t="s">
        <v>144</v>
      </c>
      <c r="C38" s="29"/>
      <c r="D38" s="29"/>
      <c r="E38" s="41" t="s">
        <v>884</v>
      </c>
      <c r="F38" s="29"/>
    </row>
    <row r="39" spans="1:6" x14ac:dyDescent="0.2">
      <c r="A39" s="41" t="s">
        <v>190</v>
      </c>
      <c r="B39" s="41" t="s">
        <v>153</v>
      </c>
      <c r="C39" s="41">
        <v>2</v>
      </c>
      <c r="D39" s="29"/>
      <c r="E39" s="41" t="s">
        <v>191</v>
      </c>
      <c r="F39" s="29"/>
    </row>
    <row r="40" spans="1:6" x14ac:dyDescent="0.2">
      <c r="A40" s="41" t="s">
        <v>877</v>
      </c>
      <c r="B40" s="41" t="s">
        <v>138</v>
      </c>
      <c r="C40" s="41">
        <v>1</v>
      </c>
      <c r="D40" s="41">
        <v>25</v>
      </c>
      <c r="E40" s="41" t="s">
        <v>156</v>
      </c>
      <c r="F40" s="29"/>
    </row>
    <row r="41" spans="1:6" x14ac:dyDescent="0.2">
      <c r="A41" s="41" t="s">
        <v>192</v>
      </c>
      <c r="B41" s="41" t="s">
        <v>148</v>
      </c>
      <c r="C41" s="41">
        <v>12</v>
      </c>
      <c r="D41" s="29"/>
      <c r="E41" s="29"/>
      <c r="F41" s="29"/>
    </row>
    <row r="42" spans="1:6" x14ac:dyDescent="0.2">
      <c r="A42" s="41" t="s">
        <v>193</v>
      </c>
      <c r="B42" s="41" t="s">
        <v>138</v>
      </c>
      <c r="C42" s="41">
        <v>4</v>
      </c>
      <c r="D42" s="29"/>
      <c r="E42" s="41" t="s">
        <v>194</v>
      </c>
      <c r="F42" s="29"/>
    </row>
    <row r="43" spans="1:6" x14ac:dyDescent="0.2">
      <c r="A43" s="41" t="s">
        <v>195</v>
      </c>
      <c r="B43" s="41" t="s">
        <v>148</v>
      </c>
      <c r="C43" s="41">
        <v>4</v>
      </c>
      <c r="D43" s="29"/>
      <c r="E43" s="29"/>
      <c r="F43" s="29"/>
    </row>
    <row r="44" spans="1:6" x14ac:dyDescent="0.2">
      <c r="A44" s="41" t="s">
        <v>196</v>
      </c>
      <c r="B44" s="41" t="s">
        <v>148</v>
      </c>
      <c r="C44" s="41">
        <v>1</v>
      </c>
      <c r="D44" s="29"/>
      <c r="E44" s="29"/>
      <c r="F44" s="29"/>
    </row>
    <row r="45" spans="1:6" x14ac:dyDescent="0.2">
      <c r="A45" s="41" t="s">
        <v>197</v>
      </c>
      <c r="B45" s="41" t="s">
        <v>138</v>
      </c>
      <c r="C45" s="41">
        <v>1</v>
      </c>
      <c r="D45" s="41">
        <v>125</v>
      </c>
      <c r="E45" s="41" t="s">
        <v>198</v>
      </c>
      <c r="F45" s="29"/>
    </row>
    <row r="46" spans="1:6" x14ac:dyDescent="0.2">
      <c r="A46" s="41" t="s">
        <v>199</v>
      </c>
      <c r="B46" s="41" t="s">
        <v>138</v>
      </c>
      <c r="C46" s="41">
        <v>1</v>
      </c>
      <c r="D46" s="41">
        <v>40</v>
      </c>
      <c r="E46" s="41" t="s">
        <v>156</v>
      </c>
      <c r="F46" s="29"/>
    </row>
    <row r="47" spans="1:6" x14ac:dyDescent="0.2">
      <c r="A47" s="41" t="s">
        <v>200</v>
      </c>
      <c r="B47" s="41" t="s">
        <v>138</v>
      </c>
      <c r="C47" s="41">
        <v>1</v>
      </c>
      <c r="D47" s="41">
        <v>20</v>
      </c>
      <c r="E47" s="41" t="s">
        <v>156</v>
      </c>
      <c r="F47" s="29"/>
    </row>
    <row r="48" spans="1:6" x14ac:dyDescent="0.2">
      <c r="A48" s="41" t="s">
        <v>201</v>
      </c>
      <c r="B48" s="41" t="s">
        <v>138</v>
      </c>
      <c r="C48" s="41">
        <v>1</v>
      </c>
      <c r="D48" s="41">
        <v>3</v>
      </c>
      <c r="E48" s="41" t="s">
        <v>202</v>
      </c>
      <c r="F48" s="29"/>
    </row>
    <row r="49" spans="1:6" x14ac:dyDescent="0.2">
      <c r="A49" s="41" t="s">
        <v>203</v>
      </c>
      <c r="B49" s="41" t="s">
        <v>161</v>
      </c>
      <c r="C49" s="41">
        <v>1</v>
      </c>
      <c r="D49" s="41">
        <v>20</v>
      </c>
      <c r="E49" s="29" t="s">
        <v>847</v>
      </c>
      <c r="F49" s="29"/>
    </row>
    <row r="50" spans="1:6" x14ac:dyDescent="0.2">
      <c r="A50" s="41" t="s">
        <v>204</v>
      </c>
      <c r="B50" s="41" t="s">
        <v>138</v>
      </c>
      <c r="C50" s="41">
        <v>1</v>
      </c>
      <c r="D50" s="29"/>
      <c r="E50" s="41" t="s">
        <v>205</v>
      </c>
      <c r="F50" s="29"/>
    </row>
    <row r="51" spans="1:6" x14ac:dyDescent="0.2">
      <c r="A51" s="41" t="s">
        <v>206</v>
      </c>
      <c r="B51" s="41" t="s">
        <v>207</v>
      </c>
      <c r="C51" s="41">
        <v>1</v>
      </c>
      <c r="D51" s="41">
        <v>700</v>
      </c>
      <c r="E51" s="41" t="s">
        <v>878</v>
      </c>
      <c r="F51" s="29"/>
    </row>
    <row r="52" spans="1:6" x14ac:dyDescent="0.2">
      <c r="A52" s="41" t="s">
        <v>208</v>
      </c>
      <c r="B52" s="41" t="s">
        <v>207</v>
      </c>
      <c r="C52" s="41">
        <v>1</v>
      </c>
      <c r="D52" s="41">
        <v>100</v>
      </c>
      <c r="E52" s="29"/>
      <c r="F52" s="29"/>
    </row>
    <row r="53" spans="1:6" x14ac:dyDescent="0.2">
      <c r="A53" s="41" t="s">
        <v>209</v>
      </c>
      <c r="B53" s="41" t="s">
        <v>207</v>
      </c>
      <c r="C53" s="41">
        <v>1</v>
      </c>
      <c r="D53" s="41">
        <v>40</v>
      </c>
      <c r="E53" s="29"/>
      <c r="F53" s="29"/>
    </row>
    <row r="54" spans="1:6" x14ac:dyDescent="0.2">
      <c r="A54" s="41" t="s">
        <v>210</v>
      </c>
      <c r="B54" s="41" t="s">
        <v>211</v>
      </c>
      <c r="C54" s="41">
        <v>1</v>
      </c>
      <c r="D54" s="41">
        <v>500</v>
      </c>
      <c r="E54" s="116" t="s">
        <v>309</v>
      </c>
      <c r="F54" s="29"/>
    </row>
    <row r="55" spans="1:6" x14ac:dyDescent="0.2">
      <c r="A55" s="62" t="s">
        <v>212</v>
      </c>
      <c r="B55" s="41" t="s">
        <v>213</v>
      </c>
      <c r="C55" s="41">
        <v>1</v>
      </c>
      <c r="D55" s="41">
        <v>60</v>
      </c>
      <c r="E55" s="41" t="s">
        <v>145</v>
      </c>
      <c r="F55" s="29"/>
    </row>
    <row r="56" spans="1:6" x14ac:dyDescent="0.2">
      <c r="A56" s="3" t="s">
        <v>214</v>
      </c>
      <c r="B56" s="29"/>
      <c r="C56" s="41">
        <v>1</v>
      </c>
      <c r="D56" s="29"/>
      <c r="E56" s="41" t="s">
        <v>145</v>
      </c>
      <c r="F56" s="29"/>
    </row>
    <row r="57" spans="1:6" x14ac:dyDescent="0.2">
      <c r="A57" s="29"/>
      <c r="B57" s="29"/>
      <c r="C57" s="29"/>
      <c r="D57" s="29"/>
      <c r="E57" s="29"/>
      <c r="F57" s="29"/>
    </row>
    <row r="58" spans="1:6" x14ac:dyDescent="0.2">
      <c r="A58" s="29"/>
      <c r="B58" s="29"/>
      <c r="C58" s="29"/>
      <c r="D58" s="29"/>
      <c r="E58" s="29"/>
      <c r="F58" s="29"/>
    </row>
    <row r="59" spans="1:6" x14ac:dyDescent="0.2">
      <c r="A59" s="29"/>
      <c r="B59" s="29"/>
      <c r="C59" s="29"/>
      <c r="D59" s="29"/>
      <c r="E59" s="29"/>
      <c r="F59" s="29"/>
    </row>
    <row r="60" spans="1:6" x14ac:dyDescent="0.2">
      <c r="A60" s="29"/>
      <c r="B60" s="29"/>
      <c r="C60" s="29"/>
      <c r="D60" s="33"/>
      <c r="E60" s="29"/>
      <c r="F60" s="29"/>
    </row>
    <row r="61" spans="1:6" ht="15" customHeight="1" x14ac:dyDescent="0.2">
      <c r="A61" s="29"/>
      <c r="B61" s="29"/>
      <c r="C61" s="57"/>
      <c r="D61" s="145">
        <f>SUM(D2:D60)</f>
        <v>3376</v>
      </c>
      <c r="E61" s="28"/>
      <c r="F61" s="29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A23" sqref="A23"/>
    </sheetView>
  </sheetViews>
  <sheetFormatPr defaultColWidth="8.7109375" defaultRowHeight="12.75" customHeight="1" outlineLevelRow="1" x14ac:dyDescent="0.2"/>
  <cols>
    <col min="1" max="1" width="25.7109375" customWidth="1"/>
    <col min="2" max="2" width="9.140625" bestFit="1" customWidth="1"/>
    <col min="9" max="9" width="12.42578125" customWidth="1"/>
    <col min="10" max="10" width="8.42578125" customWidth="1"/>
  </cols>
  <sheetData>
    <row r="1" spans="1:11" ht="12.75" customHeight="1" x14ac:dyDescent="0.2">
      <c r="A1" s="63" t="s">
        <v>215</v>
      </c>
      <c r="B1" s="63" t="s">
        <v>887</v>
      </c>
      <c r="C1" s="63" t="s">
        <v>216</v>
      </c>
      <c r="D1" s="63" t="s">
        <v>217</v>
      </c>
      <c r="E1" s="63" t="s">
        <v>218</v>
      </c>
      <c r="F1" s="63"/>
      <c r="H1" s="63"/>
      <c r="I1" s="63" t="s">
        <v>219</v>
      </c>
      <c r="J1" s="63" t="s">
        <v>220</v>
      </c>
      <c r="K1" s="63" t="s">
        <v>259</v>
      </c>
    </row>
    <row r="2" spans="1:11" ht="12.75" hidden="1" customHeight="1" outlineLevel="1" x14ac:dyDescent="0.2">
      <c r="A2" s="63">
        <v>2013</v>
      </c>
      <c r="B2" s="63"/>
      <c r="C2" s="63"/>
      <c r="D2" s="63"/>
      <c r="E2" s="63"/>
      <c r="F2" s="63"/>
      <c r="H2" s="63"/>
      <c r="I2" s="63"/>
      <c r="J2" s="63"/>
      <c r="K2" s="63"/>
    </row>
    <row r="3" spans="1:11" ht="12.75" hidden="1" customHeight="1" outlineLevel="1" x14ac:dyDescent="0.2">
      <c r="A3" s="64" t="s">
        <v>221</v>
      </c>
      <c r="B3" s="64"/>
      <c r="C3" s="86" t="s">
        <v>17</v>
      </c>
      <c r="D3" s="86" t="s">
        <v>17</v>
      </c>
      <c r="E3" s="86" t="s">
        <v>17</v>
      </c>
      <c r="F3" s="29"/>
      <c r="H3" s="29"/>
      <c r="I3" s="29">
        <v>1</v>
      </c>
      <c r="J3" s="29">
        <v>1</v>
      </c>
      <c r="K3" s="29">
        <v>1</v>
      </c>
    </row>
    <row r="4" spans="1:11" ht="12.75" hidden="1" customHeight="1" outlineLevel="1" x14ac:dyDescent="0.2">
      <c r="A4" s="85" t="s">
        <v>253</v>
      </c>
      <c r="B4" s="85"/>
      <c r="C4" s="87" t="s">
        <v>17</v>
      </c>
      <c r="D4" s="87" t="s">
        <v>17</v>
      </c>
      <c r="E4" s="87" t="s">
        <v>17</v>
      </c>
      <c r="F4" s="29"/>
      <c r="H4" s="29"/>
      <c r="I4" s="29">
        <v>12</v>
      </c>
      <c r="J4" s="29">
        <v>12</v>
      </c>
      <c r="K4" s="29">
        <v>12</v>
      </c>
    </row>
    <row r="5" spans="1:11" ht="12.75" hidden="1" customHeight="1" outlineLevel="1" x14ac:dyDescent="0.2">
      <c r="A5" s="85" t="s">
        <v>254</v>
      </c>
      <c r="B5" s="85"/>
      <c r="C5" s="87" t="s">
        <v>17</v>
      </c>
      <c r="D5" s="87" t="s">
        <v>17</v>
      </c>
      <c r="E5" s="87" t="s">
        <v>17</v>
      </c>
      <c r="F5" s="29"/>
      <c r="H5" s="29"/>
      <c r="I5" s="29">
        <v>5</v>
      </c>
      <c r="J5" s="12" t="s">
        <v>53</v>
      </c>
      <c r="K5" s="29"/>
    </row>
    <row r="6" spans="1:11" ht="12.75" hidden="1" customHeight="1" outlineLevel="1" x14ac:dyDescent="0.2">
      <c r="A6" s="85" t="s">
        <v>255</v>
      </c>
      <c r="B6" s="85"/>
      <c r="C6" s="87" t="s">
        <v>17</v>
      </c>
      <c r="D6" s="87" t="s">
        <v>17</v>
      </c>
      <c r="E6" s="87" t="s">
        <v>17</v>
      </c>
      <c r="F6" s="29"/>
      <c r="H6" s="29"/>
      <c r="I6" s="29">
        <v>19</v>
      </c>
      <c r="J6" s="29">
        <v>19</v>
      </c>
      <c r="K6" s="29"/>
    </row>
    <row r="7" spans="1:11" ht="12.75" hidden="1" customHeight="1" outlineLevel="1" x14ac:dyDescent="0.2">
      <c r="A7" s="12" t="s">
        <v>256</v>
      </c>
      <c r="B7" s="12"/>
      <c r="C7" s="87" t="s">
        <v>17</v>
      </c>
      <c r="D7" s="87" t="s">
        <v>17</v>
      </c>
      <c r="E7" s="87" t="s">
        <v>17</v>
      </c>
      <c r="F7" s="29"/>
      <c r="H7" s="29"/>
      <c r="I7" s="29">
        <v>7</v>
      </c>
      <c r="J7" s="29">
        <v>5</v>
      </c>
      <c r="K7" s="29">
        <v>7</v>
      </c>
    </row>
    <row r="8" spans="1:11" ht="12.75" hidden="1" customHeight="1" outlineLevel="1" x14ac:dyDescent="0.2">
      <c r="A8" s="12" t="s">
        <v>222</v>
      </c>
      <c r="B8" s="12"/>
      <c r="C8" s="87" t="s">
        <v>17</v>
      </c>
      <c r="D8" s="12" t="s">
        <v>17</v>
      </c>
      <c r="E8" s="12" t="s">
        <v>17</v>
      </c>
      <c r="F8" s="29"/>
      <c r="H8" s="29"/>
      <c r="I8" s="29">
        <v>11</v>
      </c>
      <c r="J8" s="29">
        <v>13</v>
      </c>
      <c r="K8" s="29"/>
    </row>
    <row r="9" spans="1:11" ht="12.75" hidden="1" customHeight="1" outlineLevel="1" x14ac:dyDescent="0.2">
      <c r="A9" s="12" t="s">
        <v>223</v>
      </c>
      <c r="B9" s="12"/>
      <c r="C9" s="117" t="s">
        <v>17</v>
      </c>
      <c r="D9" s="12" t="s">
        <v>17</v>
      </c>
      <c r="E9" s="15" t="s">
        <v>17</v>
      </c>
      <c r="F9" s="29"/>
      <c r="H9" s="29"/>
      <c r="I9" s="29">
        <v>13</v>
      </c>
      <c r="J9" s="12">
        <v>17</v>
      </c>
      <c r="K9" s="29"/>
    </row>
    <row r="10" spans="1:11" ht="12.75" hidden="1" customHeight="1" outlineLevel="1" x14ac:dyDescent="0.2">
      <c r="A10" s="12" t="s">
        <v>224</v>
      </c>
      <c r="B10" s="12"/>
      <c r="C10" s="87" t="s">
        <v>17</v>
      </c>
      <c r="D10" s="87" t="s">
        <v>17</v>
      </c>
      <c r="E10" s="87" t="s">
        <v>17</v>
      </c>
      <c r="F10" s="29"/>
      <c r="H10" s="29"/>
      <c r="I10" s="29">
        <v>14</v>
      </c>
      <c r="J10" s="29">
        <v>16</v>
      </c>
      <c r="K10" s="29"/>
    </row>
    <row r="11" spans="1:11" ht="12.75" hidden="1" customHeight="1" outlineLevel="1" x14ac:dyDescent="0.2">
      <c r="A11" s="12" t="s">
        <v>225</v>
      </c>
      <c r="B11" s="12"/>
      <c r="C11" s="87" t="s">
        <v>17</v>
      </c>
      <c r="D11" s="87" t="s">
        <v>242</v>
      </c>
      <c r="E11" s="87" t="s">
        <v>53</v>
      </c>
      <c r="F11" s="29"/>
      <c r="H11" s="29"/>
      <c r="I11" s="29">
        <v>15</v>
      </c>
      <c r="J11" s="12">
        <v>7</v>
      </c>
      <c r="K11" s="29"/>
    </row>
    <row r="12" spans="1:11" ht="12.75" hidden="1" customHeight="1" outlineLevel="1" x14ac:dyDescent="0.2">
      <c r="A12" s="12" t="s">
        <v>226</v>
      </c>
      <c r="B12" s="12"/>
      <c r="C12" s="87" t="s">
        <v>17</v>
      </c>
      <c r="D12" s="87" t="s">
        <v>17</v>
      </c>
      <c r="E12" s="87" t="s">
        <v>17</v>
      </c>
      <c r="F12" s="29"/>
      <c r="H12" s="29"/>
      <c r="I12" s="29">
        <v>16</v>
      </c>
      <c r="J12" s="29">
        <v>15</v>
      </c>
      <c r="K12" s="29"/>
    </row>
    <row r="13" spans="1:11" ht="12.75" hidden="1" customHeight="1" outlineLevel="1" x14ac:dyDescent="0.2">
      <c r="A13" s="12" t="s">
        <v>257</v>
      </c>
      <c r="B13" s="12"/>
      <c r="C13" s="87" t="s">
        <v>17</v>
      </c>
      <c r="D13" s="87" t="s">
        <v>17</v>
      </c>
      <c r="E13" s="87" t="s">
        <v>17</v>
      </c>
      <c r="F13" s="29"/>
      <c r="H13" s="29"/>
      <c r="I13" s="29">
        <v>17</v>
      </c>
      <c r="J13" s="29">
        <v>18</v>
      </c>
      <c r="K13" s="29">
        <v>17</v>
      </c>
    </row>
    <row r="14" spans="1:11" ht="12.75" hidden="1" customHeight="1" outlineLevel="1" x14ac:dyDescent="0.2">
      <c r="A14" s="12" t="s">
        <v>258</v>
      </c>
      <c r="B14" s="12"/>
      <c r="C14" s="12" t="s">
        <v>17</v>
      </c>
      <c r="D14" s="12" t="s">
        <v>242</v>
      </c>
      <c r="E14" s="12" t="s">
        <v>17</v>
      </c>
      <c r="F14" s="29"/>
      <c r="H14" s="29"/>
      <c r="I14" s="29">
        <v>18</v>
      </c>
      <c r="J14" s="29">
        <v>8</v>
      </c>
      <c r="K14" s="29"/>
    </row>
    <row r="15" spans="1:11" ht="12.75" hidden="1" customHeight="1" outlineLevel="1" x14ac:dyDescent="0.2">
      <c r="A15" s="29"/>
      <c r="B15" s="29"/>
      <c r="C15" s="29"/>
      <c r="D15" s="40"/>
      <c r="E15" s="29"/>
      <c r="F15" s="29"/>
      <c r="H15" s="29"/>
      <c r="I15" s="29"/>
      <c r="J15" s="29"/>
      <c r="K15" s="29"/>
    </row>
    <row r="16" spans="1:11" ht="12.75" hidden="1" customHeight="1" outlineLevel="1" x14ac:dyDescent="0.2">
      <c r="A16" s="12" t="s">
        <v>260</v>
      </c>
      <c r="B16" s="12"/>
      <c r="C16" s="12" t="s">
        <v>242</v>
      </c>
      <c r="D16" s="87" t="s">
        <v>17</v>
      </c>
      <c r="E16" s="12" t="s">
        <v>242</v>
      </c>
      <c r="F16" s="29"/>
      <c r="H16" s="29"/>
      <c r="I16" s="29"/>
      <c r="J16" s="29"/>
      <c r="K16" s="29">
        <v>19</v>
      </c>
    </row>
    <row r="17" spans="1:11" ht="12.75" hidden="1" customHeight="1" outlineLevel="1" x14ac:dyDescent="0.2">
      <c r="A17" s="29"/>
      <c r="B17" s="29"/>
      <c r="C17" s="29"/>
      <c r="D17" s="29"/>
      <c r="E17" s="29"/>
      <c r="F17" s="29"/>
      <c r="H17" s="29"/>
      <c r="I17" s="29"/>
      <c r="J17" s="29"/>
      <c r="K17" s="29"/>
    </row>
    <row r="18" spans="1:11" ht="12.75" hidden="1" customHeight="1" outlineLevel="1" x14ac:dyDescent="0.2">
      <c r="A18" s="29"/>
      <c r="B18" s="29"/>
      <c r="C18" s="29"/>
      <c r="D18" s="29"/>
      <c r="E18" s="40"/>
      <c r="F18" s="29"/>
      <c r="H18" s="29"/>
      <c r="I18" s="29"/>
      <c r="J18" s="29"/>
      <c r="K18" s="29"/>
    </row>
    <row r="19" spans="1:11" ht="12.75" customHeight="1" collapsed="1" x14ac:dyDescent="0.2">
      <c r="A19" s="29"/>
      <c r="B19" s="29"/>
      <c r="C19" s="29"/>
      <c r="D19" s="29"/>
      <c r="E19" s="40"/>
      <c r="F19" s="29"/>
      <c r="H19" s="29"/>
      <c r="I19" s="29"/>
      <c r="J19" s="29"/>
      <c r="K19" s="29"/>
    </row>
    <row r="20" spans="1:11" ht="12.75" customHeight="1" x14ac:dyDescent="0.2">
      <c r="A20" s="181">
        <v>2014</v>
      </c>
      <c r="B20" s="181"/>
      <c r="C20" s="29"/>
      <c r="D20" s="29"/>
      <c r="E20" s="40"/>
      <c r="F20" s="29"/>
      <c r="H20" s="29"/>
      <c r="I20" s="29"/>
      <c r="J20" s="29"/>
      <c r="K20" s="29"/>
    </row>
    <row r="21" spans="1:11" ht="12.75" customHeight="1" x14ac:dyDescent="0.2">
      <c r="A21" s="29" t="s">
        <v>221</v>
      </c>
      <c r="B21" s="29"/>
      <c r="C21" s="29"/>
      <c r="D21" s="29"/>
      <c r="E21" s="29"/>
      <c r="F21" s="29"/>
      <c r="H21" s="29"/>
      <c r="I21" s="29"/>
      <c r="J21" s="29"/>
      <c r="K21" s="29"/>
    </row>
    <row r="22" spans="1:11" ht="12.75" customHeight="1" x14ac:dyDescent="0.2">
      <c r="A22" t="s">
        <v>885</v>
      </c>
    </row>
    <row r="23" spans="1:11" ht="12.75" customHeight="1" x14ac:dyDescent="0.2">
      <c r="A23" t="s">
        <v>886</v>
      </c>
      <c r="B23" s="183">
        <v>41668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9"/>
  <sheetViews>
    <sheetView workbookViewId="0">
      <selection activeCell="A120" sqref="A120"/>
    </sheetView>
  </sheetViews>
  <sheetFormatPr defaultColWidth="17.140625" defaultRowHeight="12.75" customHeight="1" x14ac:dyDescent="0.2"/>
  <cols>
    <col min="1" max="1" width="18.140625" bestFit="1" customWidth="1"/>
    <col min="2" max="2" width="6" customWidth="1"/>
    <col min="3" max="3" width="11.28515625" customWidth="1"/>
    <col min="4" max="4" width="19" customWidth="1"/>
    <col min="7" max="7" width="41" hidden="1" customWidth="1"/>
    <col min="8" max="8" width="25.42578125" customWidth="1"/>
    <col min="11" max="11" width="13.7109375" customWidth="1"/>
    <col min="16" max="16" width="33.28515625" customWidth="1"/>
  </cols>
  <sheetData>
    <row r="1" spans="1:17" ht="12.75" customHeight="1" x14ac:dyDescent="0.2">
      <c r="A1" s="118" t="s">
        <v>310</v>
      </c>
      <c r="B1" s="118" t="s">
        <v>311</v>
      </c>
      <c r="C1" s="118" t="s">
        <v>312</v>
      </c>
      <c r="D1" s="118" t="s">
        <v>313</v>
      </c>
      <c r="E1" s="118"/>
      <c r="F1" s="118"/>
      <c r="G1" s="118"/>
      <c r="H1" s="118" t="s">
        <v>314</v>
      </c>
      <c r="I1" s="118" t="s">
        <v>315</v>
      </c>
      <c r="J1" s="118" t="s">
        <v>316</v>
      </c>
      <c r="K1" s="118" t="s">
        <v>317</v>
      </c>
      <c r="L1" s="118" t="s">
        <v>318</v>
      </c>
      <c r="M1" s="118" t="s">
        <v>319</v>
      </c>
      <c r="N1" s="118" t="s">
        <v>320</v>
      </c>
      <c r="O1" s="118" t="s">
        <v>321</v>
      </c>
      <c r="P1" s="118" t="s">
        <v>4</v>
      </c>
      <c r="Q1" s="118" t="s">
        <v>321</v>
      </c>
    </row>
    <row r="2" spans="1:17" ht="12.75" hidden="1" customHeight="1" x14ac:dyDescent="0.2">
      <c r="A2" s="119">
        <v>40890.521620370397</v>
      </c>
      <c r="B2" s="120" t="s">
        <v>322</v>
      </c>
      <c r="C2" s="120" t="s">
        <v>13</v>
      </c>
      <c r="D2" s="120" t="s">
        <v>323</v>
      </c>
      <c r="H2" s="120" t="s">
        <v>324</v>
      </c>
      <c r="I2" s="120" t="s">
        <v>325</v>
      </c>
      <c r="J2" s="120" t="s">
        <v>326</v>
      </c>
      <c r="K2" s="120" t="s">
        <v>327</v>
      </c>
      <c r="L2" s="120" t="s">
        <v>328</v>
      </c>
      <c r="M2" s="120">
        <v>2542</v>
      </c>
      <c r="P2" s="120" t="s">
        <v>329</v>
      </c>
      <c r="Q2" s="120" t="s">
        <v>330</v>
      </c>
    </row>
    <row r="3" spans="1:17" ht="12.75" hidden="1" customHeight="1" x14ac:dyDescent="0.2">
      <c r="A3" s="121">
        <v>2012</v>
      </c>
      <c r="B3" s="120"/>
      <c r="C3" s="120"/>
      <c r="D3" s="120"/>
      <c r="H3" s="120"/>
      <c r="I3" s="120"/>
      <c r="J3" s="120"/>
      <c r="K3" s="120"/>
      <c r="L3" s="120"/>
      <c r="M3" s="120"/>
      <c r="P3" s="120"/>
      <c r="Q3" s="120"/>
    </row>
    <row r="4" spans="1:17" ht="12.75" hidden="1" customHeight="1" x14ac:dyDescent="0.2">
      <c r="A4" s="119">
        <v>40954.573923611097</v>
      </c>
      <c r="B4" s="120" t="s">
        <v>322</v>
      </c>
      <c r="C4" s="120" t="s">
        <v>13</v>
      </c>
      <c r="D4" s="120"/>
      <c r="H4" s="120" t="s">
        <v>331</v>
      </c>
      <c r="I4" s="120" t="s">
        <v>325</v>
      </c>
      <c r="J4" s="120" t="s">
        <v>332</v>
      </c>
      <c r="K4" s="120" t="s">
        <v>333</v>
      </c>
      <c r="L4" s="120" t="s">
        <v>328</v>
      </c>
      <c r="M4" s="120">
        <v>2542</v>
      </c>
      <c r="P4" s="120" t="s">
        <v>329</v>
      </c>
      <c r="Q4" s="120" t="s">
        <v>330</v>
      </c>
    </row>
    <row r="5" spans="1:17" ht="12.75" hidden="1" customHeight="1" x14ac:dyDescent="0.2">
      <c r="A5" s="119">
        <v>40991.391504629602</v>
      </c>
      <c r="B5" s="120" t="s">
        <v>334</v>
      </c>
      <c r="C5" s="120" t="s">
        <v>335</v>
      </c>
      <c r="D5" s="120" t="s">
        <v>336</v>
      </c>
      <c r="H5" s="120" t="s">
        <v>337</v>
      </c>
      <c r="I5" s="120" t="s">
        <v>338</v>
      </c>
      <c r="J5" s="120" t="s">
        <v>339</v>
      </c>
      <c r="K5" s="120">
        <v>16</v>
      </c>
      <c r="L5" s="120" t="s">
        <v>215</v>
      </c>
      <c r="M5" s="120">
        <v>3480</v>
      </c>
      <c r="P5" s="120" t="s">
        <v>340</v>
      </c>
      <c r="Q5" s="120" t="s">
        <v>330</v>
      </c>
    </row>
    <row r="6" spans="1:17" ht="12.75" hidden="1" customHeight="1" x14ac:dyDescent="0.2">
      <c r="A6" s="119">
        <v>41005.442662037</v>
      </c>
      <c r="B6" s="120" t="s">
        <v>341</v>
      </c>
      <c r="C6" s="120" t="s">
        <v>342</v>
      </c>
      <c r="D6" s="120" t="s">
        <v>343</v>
      </c>
      <c r="H6" s="120" t="s">
        <v>344</v>
      </c>
      <c r="I6" s="120">
        <v>7039894597</v>
      </c>
      <c r="J6" s="120" t="s">
        <v>345</v>
      </c>
      <c r="K6" s="120">
        <v>18</v>
      </c>
      <c r="L6" s="120" t="s">
        <v>328</v>
      </c>
      <c r="M6" s="122" t="s">
        <v>346</v>
      </c>
      <c r="P6" s="120"/>
      <c r="Q6" s="120" t="s">
        <v>330</v>
      </c>
    </row>
    <row r="7" spans="1:17" ht="12.75" hidden="1" customHeight="1" x14ac:dyDescent="0.2">
      <c r="A7" s="119">
        <v>41005.5238888889</v>
      </c>
      <c r="B7" s="120" t="s">
        <v>347</v>
      </c>
      <c r="C7" s="120" t="s">
        <v>348</v>
      </c>
      <c r="D7" s="120" t="s">
        <v>349</v>
      </c>
      <c r="H7" s="120" t="s">
        <v>350</v>
      </c>
      <c r="I7" s="120" t="s">
        <v>351</v>
      </c>
      <c r="J7" s="120" t="s">
        <v>352</v>
      </c>
      <c r="K7" s="120">
        <v>18</v>
      </c>
      <c r="L7" s="120" t="s">
        <v>328</v>
      </c>
      <c r="M7" s="120">
        <v>3555</v>
      </c>
      <c r="P7" s="120"/>
      <c r="Q7" s="120" t="s">
        <v>330</v>
      </c>
    </row>
    <row r="8" spans="1:17" ht="12.75" hidden="1" customHeight="1" x14ac:dyDescent="0.2">
      <c r="A8" s="119">
        <v>41012.378483796303</v>
      </c>
      <c r="B8" s="120" t="s">
        <v>353</v>
      </c>
      <c r="C8" s="120" t="s">
        <v>222</v>
      </c>
      <c r="D8" s="120" t="s">
        <v>354</v>
      </c>
      <c r="H8" s="120" t="s">
        <v>355</v>
      </c>
      <c r="I8" s="120">
        <v>4016191666</v>
      </c>
      <c r="J8" s="120" t="s">
        <v>352</v>
      </c>
      <c r="K8" s="120">
        <v>6</v>
      </c>
      <c r="L8" s="120" t="s">
        <v>215</v>
      </c>
      <c r="M8" s="120">
        <v>3416</v>
      </c>
      <c r="P8" s="120"/>
      <c r="Q8" s="120" t="s">
        <v>330</v>
      </c>
    </row>
    <row r="9" spans="1:17" ht="12.75" hidden="1" customHeight="1" x14ac:dyDescent="0.2">
      <c r="A9" s="119">
        <v>41013.535787036999</v>
      </c>
      <c r="B9" s="120" t="s">
        <v>356</v>
      </c>
      <c r="C9" s="120" t="s">
        <v>357</v>
      </c>
      <c r="D9" s="120">
        <v>2828</v>
      </c>
      <c r="H9" s="120" t="s">
        <v>358</v>
      </c>
      <c r="I9" s="120" t="s">
        <v>359</v>
      </c>
      <c r="J9" s="120" t="s">
        <v>339</v>
      </c>
      <c r="K9" s="120">
        <v>6</v>
      </c>
      <c r="L9" s="120" t="s">
        <v>360</v>
      </c>
      <c r="M9" s="105">
        <v>3416</v>
      </c>
      <c r="P9" s="120"/>
      <c r="Q9" s="120" t="s">
        <v>330</v>
      </c>
    </row>
    <row r="10" spans="1:17" ht="12.75" hidden="1" customHeight="1" x14ac:dyDescent="0.2">
      <c r="A10" s="119">
        <v>41013.736793981501</v>
      </c>
      <c r="B10" s="120" t="s">
        <v>361</v>
      </c>
      <c r="C10" s="120" t="s">
        <v>221</v>
      </c>
      <c r="D10" s="120" t="s">
        <v>362</v>
      </c>
      <c r="H10" s="120" t="s">
        <v>363</v>
      </c>
      <c r="I10" s="120" t="s">
        <v>364</v>
      </c>
      <c r="J10" s="120" t="s">
        <v>352</v>
      </c>
      <c r="K10" s="120" t="s">
        <v>365</v>
      </c>
      <c r="L10" s="120" t="s">
        <v>215</v>
      </c>
      <c r="M10" s="120">
        <v>3227</v>
      </c>
      <c r="P10" s="120"/>
      <c r="Q10" s="120" t="s">
        <v>330</v>
      </c>
    </row>
    <row r="11" spans="1:17" ht="12.75" hidden="1" customHeight="1" x14ac:dyDescent="0.2">
      <c r="A11" s="119">
        <v>41013.746354166702</v>
      </c>
      <c r="B11" s="120" t="s">
        <v>366</v>
      </c>
      <c r="C11" s="120" t="s">
        <v>367</v>
      </c>
      <c r="D11" s="120" t="s">
        <v>368</v>
      </c>
      <c r="H11" s="120" t="s">
        <v>369</v>
      </c>
      <c r="I11" s="120" t="s">
        <v>370</v>
      </c>
      <c r="J11" s="120" t="s">
        <v>371</v>
      </c>
      <c r="K11" s="120"/>
      <c r="L11" s="120" t="s">
        <v>360</v>
      </c>
      <c r="M11" s="120">
        <v>3591</v>
      </c>
      <c r="P11" s="120"/>
      <c r="Q11" s="120" t="s">
        <v>330</v>
      </c>
    </row>
    <row r="12" spans="1:17" ht="12.75" hidden="1" customHeight="1" x14ac:dyDescent="0.2">
      <c r="A12" s="119">
        <v>41015.416701388902</v>
      </c>
      <c r="B12" s="120" t="s">
        <v>372</v>
      </c>
      <c r="C12" s="120" t="s">
        <v>373</v>
      </c>
      <c r="D12" s="120" t="s">
        <v>374</v>
      </c>
      <c r="H12" s="120" t="s">
        <v>375</v>
      </c>
      <c r="I12" s="120" t="s">
        <v>376</v>
      </c>
      <c r="J12" s="120" t="s">
        <v>352</v>
      </c>
      <c r="K12" s="120" t="s">
        <v>377</v>
      </c>
      <c r="L12" s="120" t="s">
        <v>360</v>
      </c>
      <c r="M12" s="122" t="s">
        <v>378</v>
      </c>
      <c r="P12" s="120"/>
      <c r="Q12" s="120" t="s">
        <v>330</v>
      </c>
    </row>
    <row r="13" spans="1:17" ht="12.75" hidden="1" customHeight="1" x14ac:dyDescent="0.2">
      <c r="A13" s="119">
        <v>41015.622013888897</v>
      </c>
      <c r="B13" s="120" t="s">
        <v>379</v>
      </c>
      <c r="C13" s="120" t="s">
        <v>380</v>
      </c>
      <c r="D13" s="120" t="s">
        <v>381</v>
      </c>
      <c r="H13" s="120" t="s">
        <v>382</v>
      </c>
      <c r="I13" s="120" t="s">
        <v>383</v>
      </c>
      <c r="J13" s="120" t="s">
        <v>339</v>
      </c>
      <c r="K13" s="120" t="s">
        <v>384</v>
      </c>
      <c r="L13" s="120" t="s">
        <v>360</v>
      </c>
      <c r="M13" s="120">
        <v>3438</v>
      </c>
      <c r="P13" s="120"/>
      <c r="Q13" s="120" t="s">
        <v>330</v>
      </c>
    </row>
    <row r="14" spans="1:17" ht="12.75" hidden="1" customHeight="1" x14ac:dyDescent="0.2">
      <c r="A14" s="119">
        <v>41016.789803240703</v>
      </c>
      <c r="B14" s="120" t="s">
        <v>385</v>
      </c>
      <c r="C14" s="120" t="s">
        <v>99</v>
      </c>
      <c r="D14" s="120" t="s">
        <v>386</v>
      </c>
      <c r="H14" s="120" t="s">
        <v>387</v>
      </c>
      <c r="I14" s="120" t="s">
        <v>388</v>
      </c>
      <c r="J14" s="120" t="s">
        <v>339</v>
      </c>
      <c r="K14" s="120"/>
      <c r="L14" s="120" t="s">
        <v>215</v>
      </c>
      <c r="M14" s="120">
        <v>3549</v>
      </c>
      <c r="P14" s="120"/>
      <c r="Q14" s="120" t="s">
        <v>330</v>
      </c>
    </row>
    <row r="15" spans="1:17" ht="12.75" hidden="1" customHeight="1" x14ac:dyDescent="0.2">
      <c r="A15" s="119">
        <v>41016.790902777801</v>
      </c>
      <c r="B15" s="120" t="s">
        <v>389</v>
      </c>
      <c r="C15" s="120" t="s">
        <v>224</v>
      </c>
      <c r="D15" s="120" t="s">
        <v>386</v>
      </c>
      <c r="H15" s="120" t="s">
        <v>390</v>
      </c>
      <c r="I15" s="120" t="s">
        <v>391</v>
      </c>
      <c r="J15" s="120" t="s">
        <v>339</v>
      </c>
      <c r="K15" s="120"/>
      <c r="L15" s="120" t="s">
        <v>360</v>
      </c>
      <c r="M15" s="120">
        <v>3549</v>
      </c>
      <c r="P15" s="120" t="s">
        <v>392</v>
      </c>
      <c r="Q15" s="120" t="s">
        <v>330</v>
      </c>
    </row>
    <row r="16" spans="1:17" ht="12.75" hidden="1" customHeight="1" x14ac:dyDescent="0.2">
      <c r="A16" s="119">
        <v>41016.791620370401</v>
      </c>
      <c r="B16" s="120" t="s">
        <v>393</v>
      </c>
      <c r="C16" s="120" t="s">
        <v>224</v>
      </c>
      <c r="D16" s="120" t="s">
        <v>386</v>
      </c>
      <c r="H16" s="120" t="s">
        <v>394</v>
      </c>
      <c r="I16" s="120" t="s">
        <v>395</v>
      </c>
      <c r="J16" s="120" t="s">
        <v>339</v>
      </c>
      <c r="K16" s="120"/>
      <c r="L16" s="120" t="s">
        <v>360</v>
      </c>
      <c r="M16" s="120">
        <v>3549</v>
      </c>
      <c r="P16" s="120" t="s">
        <v>392</v>
      </c>
      <c r="Q16" s="120" t="s">
        <v>330</v>
      </c>
    </row>
    <row r="17" spans="1:17" ht="12.75" hidden="1" customHeight="1" x14ac:dyDescent="0.2">
      <c r="A17" s="119">
        <v>41031.873009259303</v>
      </c>
      <c r="B17" s="120" t="s">
        <v>389</v>
      </c>
      <c r="C17" s="120" t="s">
        <v>396</v>
      </c>
      <c r="D17" s="120" t="s">
        <v>397</v>
      </c>
      <c r="H17" s="120" t="s">
        <v>398</v>
      </c>
      <c r="I17" s="120" t="s">
        <v>399</v>
      </c>
      <c r="J17" s="120" t="s">
        <v>339</v>
      </c>
      <c r="K17" s="120"/>
      <c r="L17" s="120" t="s">
        <v>215</v>
      </c>
      <c r="M17" s="120">
        <v>3060</v>
      </c>
      <c r="P17" s="120"/>
      <c r="Q17" s="120" t="s">
        <v>330</v>
      </c>
    </row>
    <row r="18" spans="1:17" ht="12.75" hidden="1" customHeight="1" x14ac:dyDescent="0.2">
      <c r="A18" s="119">
        <v>41036.624178240701</v>
      </c>
      <c r="B18" s="120" t="s">
        <v>400</v>
      </c>
      <c r="C18" s="120" t="s">
        <v>226</v>
      </c>
      <c r="D18" s="120" t="s">
        <v>401</v>
      </c>
      <c r="H18" s="120" t="s">
        <v>402</v>
      </c>
      <c r="I18" s="120" t="s">
        <v>403</v>
      </c>
      <c r="J18" s="120" t="s">
        <v>352</v>
      </c>
      <c r="K18" s="120" t="s">
        <v>404</v>
      </c>
      <c r="L18" s="120" t="s">
        <v>215</v>
      </c>
      <c r="M18" s="120">
        <v>3500</v>
      </c>
      <c r="P18" s="120"/>
      <c r="Q18" s="120" t="s">
        <v>330</v>
      </c>
    </row>
    <row r="19" spans="1:17" ht="12.75" hidden="1" customHeight="1" x14ac:dyDescent="0.2">
      <c r="A19" s="119">
        <v>41048.366712962998</v>
      </c>
      <c r="B19" s="120" t="s">
        <v>405</v>
      </c>
      <c r="C19" s="120" t="s">
        <v>37</v>
      </c>
      <c r="D19" s="120" t="s">
        <v>406</v>
      </c>
      <c r="H19" s="120" t="s">
        <v>407</v>
      </c>
      <c r="I19" s="120">
        <v>4012461350</v>
      </c>
      <c r="J19" s="120" t="s">
        <v>339</v>
      </c>
      <c r="K19" s="120" t="s">
        <v>408</v>
      </c>
      <c r="L19" s="120" t="s">
        <v>360</v>
      </c>
      <c r="M19" s="123">
        <v>3561</v>
      </c>
      <c r="P19" s="120" t="s">
        <v>409</v>
      </c>
      <c r="Q19" s="120" t="s">
        <v>330</v>
      </c>
    </row>
    <row r="20" spans="1:17" ht="12.75" hidden="1" customHeight="1" x14ac:dyDescent="0.2">
      <c r="A20" s="124">
        <v>41049</v>
      </c>
      <c r="B20" s="120" t="s">
        <v>410</v>
      </c>
      <c r="C20" s="120" t="s">
        <v>266</v>
      </c>
      <c r="D20" s="120" t="s">
        <v>411</v>
      </c>
      <c r="E20" s="120"/>
      <c r="F20" s="120"/>
      <c r="G20" s="120"/>
      <c r="H20" s="120" t="s">
        <v>412</v>
      </c>
      <c r="I20" s="120" t="s">
        <v>413</v>
      </c>
      <c r="J20" s="120" t="s">
        <v>414</v>
      </c>
      <c r="K20" s="120" t="s">
        <v>415</v>
      </c>
      <c r="L20" s="120" t="s">
        <v>416</v>
      </c>
      <c r="M20" s="125" t="s">
        <v>417</v>
      </c>
      <c r="N20" s="120"/>
      <c r="O20" s="120"/>
      <c r="P20" s="120"/>
      <c r="Q20" s="120" t="s">
        <v>418</v>
      </c>
    </row>
    <row r="21" spans="1:17" ht="12.75" hidden="1" customHeight="1" x14ac:dyDescent="0.2">
      <c r="A21" s="124">
        <v>41049</v>
      </c>
      <c r="B21" s="120" t="s">
        <v>353</v>
      </c>
      <c r="C21" s="120" t="s">
        <v>419</v>
      </c>
      <c r="D21" s="120" t="s">
        <v>420</v>
      </c>
      <c r="E21" s="120"/>
      <c r="F21" s="120"/>
      <c r="G21" s="120"/>
      <c r="H21" s="120" t="s">
        <v>421</v>
      </c>
      <c r="I21" s="120" t="s">
        <v>422</v>
      </c>
      <c r="J21" s="120" t="s">
        <v>423</v>
      </c>
      <c r="K21" s="120" t="s">
        <v>100</v>
      </c>
      <c r="L21" s="120" t="s">
        <v>360</v>
      </c>
      <c r="M21" s="120"/>
      <c r="N21" s="120"/>
      <c r="O21" s="120"/>
      <c r="P21" s="120"/>
      <c r="Q21" s="120" t="s">
        <v>418</v>
      </c>
    </row>
    <row r="22" spans="1:17" ht="12.75" hidden="1" customHeight="1" x14ac:dyDescent="0.2">
      <c r="A22" s="124">
        <v>41052</v>
      </c>
      <c r="B22" s="120" t="s">
        <v>424</v>
      </c>
      <c r="C22" s="120" t="s">
        <v>425</v>
      </c>
      <c r="D22" s="120" t="s">
        <v>426</v>
      </c>
      <c r="E22" s="120"/>
      <c r="F22" s="120"/>
      <c r="G22" s="120"/>
      <c r="H22" s="120" t="s">
        <v>427</v>
      </c>
      <c r="I22" s="120" t="s">
        <v>428</v>
      </c>
      <c r="J22" s="120" t="s">
        <v>423</v>
      </c>
      <c r="K22" s="120">
        <v>14</v>
      </c>
      <c r="L22" s="120" t="s">
        <v>429</v>
      </c>
      <c r="M22" s="123">
        <v>3061</v>
      </c>
      <c r="N22" s="120"/>
      <c r="O22" s="120"/>
      <c r="P22" s="120"/>
      <c r="Q22" s="120"/>
    </row>
    <row r="23" spans="1:17" ht="12.75" hidden="1" customHeight="1" x14ac:dyDescent="0.2">
      <c r="A23" s="124">
        <v>41059</v>
      </c>
      <c r="B23" s="120" t="s">
        <v>430</v>
      </c>
      <c r="C23" s="120" t="s">
        <v>431</v>
      </c>
      <c r="D23" s="120" t="s">
        <v>432</v>
      </c>
      <c r="E23" s="120"/>
      <c r="F23" s="120"/>
      <c r="G23" s="120"/>
      <c r="H23" s="120" t="s">
        <v>433</v>
      </c>
      <c r="I23" s="120" t="s">
        <v>434</v>
      </c>
      <c r="J23" s="120" t="s">
        <v>414</v>
      </c>
      <c r="K23" s="120">
        <v>14</v>
      </c>
      <c r="L23" s="120" t="s">
        <v>328</v>
      </c>
      <c r="M23" s="122" t="s">
        <v>435</v>
      </c>
      <c r="N23" s="120"/>
      <c r="O23" s="120"/>
      <c r="P23" s="120"/>
      <c r="Q23" s="120"/>
    </row>
    <row r="24" spans="1:17" ht="12.75" hidden="1" customHeight="1" x14ac:dyDescent="0.2">
      <c r="A24" s="124">
        <v>41059</v>
      </c>
      <c r="B24" s="120" t="s">
        <v>436</v>
      </c>
      <c r="C24" s="120" t="s">
        <v>437</v>
      </c>
      <c r="D24" s="120" t="s">
        <v>438</v>
      </c>
      <c r="E24" s="120"/>
      <c r="F24" s="120"/>
      <c r="G24" s="120"/>
      <c r="H24" s="120" t="s">
        <v>439</v>
      </c>
      <c r="I24" s="120" t="s">
        <v>440</v>
      </c>
      <c r="J24" s="120" t="s">
        <v>423</v>
      </c>
      <c r="K24" s="120">
        <v>14</v>
      </c>
      <c r="L24" s="120" t="s">
        <v>441</v>
      </c>
      <c r="M24" s="120" t="s">
        <v>442</v>
      </c>
      <c r="N24" s="120"/>
      <c r="O24" s="120"/>
      <c r="P24" s="120"/>
      <c r="Q24" s="120"/>
    </row>
    <row r="25" spans="1:17" ht="12.75" hidden="1" customHeight="1" x14ac:dyDescent="0.2">
      <c r="A25" s="124">
        <v>41059</v>
      </c>
      <c r="B25" s="120" t="s">
        <v>443</v>
      </c>
      <c r="C25" s="120" t="s">
        <v>444</v>
      </c>
      <c r="D25" s="120" t="s">
        <v>445</v>
      </c>
      <c r="E25" s="120"/>
      <c r="F25" s="120"/>
      <c r="G25" s="120"/>
      <c r="H25" s="120" t="s">
        <v>446</v>
      </c>
      <c r="I25" s="120" t="s">
        <v>447</v>
      </c>
      <c r="J25" s="120" t="s">
        <v>423</v>
      </c>
      <c r="K25" s="120">
        <v>10</v>
      </c>
      <c r="L25" s="120" t="s">
        <v>441</v>
      </c>
      <c r="M25" s="120"/>
      <c r="N25" s="120"/>
      <c r="O25" s="120"/>
      <c r="P25" s="120"/>
      <c r="Q25" s="120"/>
    </row>
    <row r="26" spans="1:17" ht="12.75" hidden="1" customHeight="1" x14ac:dyDescent="0.2">
      <c r="A26" s="124">
        <v>41059</v>
      </c>
      <c r="B26" s="120" t="s">
        <v>448</v>
      </c>
      <c r="C26" s="120" t="s">
        <v>449</v>
      </c>
      <c r="D26" s="120" t="s">
        <v>450</v>
      </c>
      <c r="E26" s="120"/>
      <c r="F26" s="120"/>
      <c r="G26" s="120"/>
      <c r="H26" s="120" t="s">
        <v>451</v>
      </c>
      <c r="I26" s="120" t="s">
        <v>452</v>
      </c>
      <c r="J26" s="120" t="s">
        <v>423</v>
      </c>
      <c r="K26" s="120">
        <v>10</v>
      </c>
      <c r="L26" s="120" t="s">
        <v>441</v>
      </c>
      <c r="M26" s="120"/>
      <c r="N26" s="120"/>
      <c r="O26" s="120"/>
      <c r="P26" s="120"/>
      <c r="Q26" s="120"/>
    </row>
    <row r="27" spans="1:17" ht="12.75" hidden="1" customHeight="1" x14ac:dyDescent="0.2">
      <c r="A27" s="124">
        <v>41066</v>
      </c>
      <c r="B27" s="120" t="s">
        <v>453</v>
      </c>
      <c r="C27" s="120" t="s">
        <v>454</v>
      </c>
      <c r="D27" s="120" t="s">
        <v>455</v>
      </c>
      <c r="E27" s="120"/>
      <c r="F27" s="120"/>
      <c r="G27" s="120"/>
      <c r="H27" s="120" t="s">
        <v>456</v>
      </c>
      <c r="I27" s="120" t="s">
        <v>457</v>
      </c>
      <c r="J27" s="120" t="s">
        <v>414</v>
      </c>
      <c r="K27" s="120">
        <v>3</v>
      </c>
      <c r="L27" s="120" t="s">
        <v>441</v>
      </c>
      <c r="M27" s="120">
        <v>2677</v>
      </c>
      <c r="N27" s="120"/>
      <c r="O27" s="120"/>
      <c r="P27" s="120"/>
      <c r="Q27" s="120"/>
    </row>
    <row r="28" spans="1:17" ht="12.75" hidden="1" customHeight="1" x14ac:dyDescent="0.2">
      <c r="A28" s="124">
        <v>41066</v>
      </c>
      <c r="B28" s="120" t="s">
        <v>458</v>
      </c>
      <c r="C28" s="120" t="s">
        <v>454</v>
      </c>
      <c r="D28" s="120" t="s">
        <v>455</v>
      </c>
      <c r="E28" s="120"/>
      <c r="F28" s="120"/>
      <c r="G28" s="120"/>
      <c r="H28" s="120" t="s">
        <v>456</v>
      </c>
      <c r="I28" s="120" t="s">
        <v>457</v>
      </c>
      <c r="J28" s="120" t="s">
        <v>414</v>
      </c>
      <c r="K28" s="120">
        <v>3</v>
      </c>
      <c r="L28" s="120" t="s">
        <v>459</v>
      </c>
      <c r="M28" s="120">
        <v>2677</v>
      </c>
      <c r="N28" s="120"/>
      <c r="O28" s="120"/>
      <c r="P28" s="120"/>
      <c r="Q28" s="120"/>
    </row>
    <row r="29" spans="1:17" ht="12.75" hidden="1" customHeight="1" x14ac:dyDescent="0.2">
      <c r="A29" s="124">
        <v>41080</v>
      </c>
      <c r="B29" s="120" t="s">
        <v>460</v>
      </c>
      <c r="C29" s="120" t="s">
        <v>461</v>
      </c>
      <c r="D29" s="120" t="s">
        <v>462</v>
      </c>
      <c r="E29" s="120"/>
      <c r="F29" s="120"/>
      <c r="G29" s="120"/>
      <c r="H29" s="120" t="s">
        <v>463</v>
      </c>
      <c r="I29" s="120" t="s">
        <v>464</v>
      </c>
      <c r="J29" s="120" t="s">
        <v>414</v>
      </c>
      <c r="K29" s="120">
        <v>18</v>
      </c>
      <c r="L29" s="120" t="s">
        <v>441</v>
      </c>
      <c r="M29" s="120"/>
      <c r="N29" s="120"/>
      <c r="O29" s="120"/>
      <c r="P29" s="120"/>
      <c r="Q29" s="120"/>
    </row>
    <row r="30" spans="1:17" ht="12.75" hidden="1" customHeight="1" x14ac:dyDescent="0.2">
      <c r="A30" s="124">
        <v>41080</v>
      </c>
      <c r="B30" s="120" t="s">
        <v>465</v>
      </c>
      <c r="C30" s="120" t="s">
        <v>466</v>
      </c>
      <c r="D30" s="120" t="s">
        <v>467</v>
      </c>
      <c r="E30" s="120"/>
      <c r="F30" s="120"/>
      <c r="G30" s="120"/>
      <c r="H30" s="120" t="s">
        <v>468</v>
      </c>
      <c r="I30" s="120" t="s">
        <v>469</v>
      </c>
      <c r="J30" s="120" t="s">
        <v>470</v>
      </c>
      <c r="K30" s="120">
        <v>18</v>
      </c>
      <c r="L30" s="120" t="s">
        <v>441</v>
      </c>
      <c r="M30" s="125" t="s">
        <v>471</v>
      </c>
      <c r="N30" s="120"/>
      <c r="O30" s="120"/>
      <c r="P30" s="120"/>
      <c r="Q30" s="120"/>
    </row>
    <row r="31" spans="1:17" ht="12.75" hidden="1" customHeight="1" x14ac:dyDescent="0.2">
      <c r="A31" s="119">
        <v>41093.262233796297</v>
      </c>
      <c r="B31" s="120" t="s">
        <v>472</v>
      </c>
      <c r="C31" s="120" t="s">
        <v>99</v>
      </c>
      <c r="D31" s="120" t="s">
        <v>473</v>
      </c>
      <c r="H31" s="120" t="s">
        <v>387</v>
      </c>
      <c r="I31" s="120">
        <v>4015299220</v>
      </c>
      <c r="J31" s="120" t="s">
        <v>339</v>
      </c>
      <c r="K31" s="120"/>
      <c r="L31" s="120" t="s">
        <v>360</v>
      </c>
      <c r="M31" s="120">
        <v>3549</v>
      </c>
      <c r="P31" s="120"/>
      <c r="Q31" s="120" t="s">
        <v>330</v>
      </c>
    </row>
    <row r="32" spans="1:17" ht="12.75" hidden="1" customHeight="1" x14ac:dyDescent="0.2">
      <c r="A32" s="124">
        <v>41094</v>
      </c>
      <c r="B32" s="120" t="s">
        <v>474</v>
      </c>
      <c r="C32" s="120" t="s">
        <v>475</v>
      </c>
      <c r="D32" s="120" t="s">
        <v>476</v>
      </c>
      <c r="E32" s="120"/>
      <c r="F32" s="120"/>
      <c r="G32" s="120"/>
      <c r="H32" s="120" t="s">
        <v>477</v>
      </c>
      <c r="I32" s="120" t="s">
        <v>478</v>
      </c>
      <c r="J32" s="120" t="s">
        <v>414</v>
      </c>
      <c r="K32" s="120">
        <v>3</v>
      </c>
      <c r="L32" s="120" t="s">
        <v>441</v>
      </c>
      <c r="M32" s="120"/>
      <c r="N32" s="120"/>
      <c r="O32" s="120"/>
      <c r="P32" s="120"/>
      <c r="Q32" s="120"/>
    </row>
    <row r="33" spans="1:17" ht="12.75" hidden="1" customHeight="1" x14ac:dyDescent="0.2">
      <c r="A33" s="124">
        <v>41094</v>
      </c>
      <c r="B33" s="120" t="s">
        <v>479</v>
      </c>
      <c r="C33" s="120" t="s">
        <v>461</v>
      </c>
      <c r="D33" s="120" t="s">
        <v>462</v>
      </c>
      <c r="E33" s="120"/>
      <c r="F33" s="120"/>
      <c r="G33" s="120"/>
      <c r="H33" s="120" t="s">
        <v>480</v>
      </c>
      <c r="I33" s="120" t="s">
        <v>481</v>
      </c>
      <c r="J33" s="120" t="s">
        <v>339</v>
      </c>
      <c r="K33" s="120">
        <v>3</v>
      </c>
      <c r="L33" s="120" t="s">
        <v>441</v>
      </c>
      <c r="M33" s="120"/>
      <c r="N33" s="120"/>
      <c r="O33" s="120"/>
      <c r="P33" s="120"/>
      <c r="Q33" s="120"/>
    </row>
    <row r="34" spans="1:17" ht="12.75" hidden="1" customHeight="1" x14ac:dyDescent="0.2">
      <c r="A34" s="119">
        <v>41102.908912036997</v>
      </c>
      <c r="B34" s="120" t="s">
        <v>482</v>
      </c>
      <c r="C34" s="120" t="s">
        <v>483</v>
      </c>
      <c r="D34" s="120" t="s">
        <v>484</v>
      </c>
      <c r="H34" s="120" t="s">
        <v>485</v>
      </c>
      <c r="I34" s="120">
        <v>4013249777</v>
      </c>
      <c r="J34" s="120" t="s">
        <v>352</v>
      </c>
      <c r="K34" s="120"/>
      <c r="L34" s="120" t="s">
        <v>215</v>
      </c>
      <c r="M34" s="120" t="s">
        <v>486</v>
      </c>
      <c r="P34" s="120"/>
      <c r="Q34" s="120" t="s">
        <v>330</v>
      </c>
    </row>
    <row r="35" spans="1:17" ht="12.75" hidden="1" customHeight="1" x14ac:dyDescent="0.2">
      <c r="A35" s="119">
        <v>41106.565856481502</v>
      </c>
      <c r="B35" s="120" t="s">
        <v>487</v>
      </c>
      <c r="C35" s="120" t="s">
        <v>488</v>
      </c>
      <c r="D35" s="120" t="s">
        <v>489</v>
      </c>
      <c r="H35" s="120" t="s">
        <v>490</v>
      </c>
      <c r="I35" s="120" t="s">
        <v>491</v>
      </c>
      <c r="J35" s="120" t="s">
        <v>492</v>
      </c>
      <c r="K35" s="120" t="s">
        <v>493</v>
      </c>
      <c r="L35" s="120" t="s">
        <v>215</v>
      </c>
      <c r="M35" s="120" t="s">
        <v>494</v>
      </c>
      <c r="P35" s="120" t="s">
        <v>48</v>
      </c>
      <c r="Q35" s="120" t="s">
        <v>330</v>
      </c>
    </row>
    <row r="36" spans="1:17" ht="12.75" hidden="1" customHeight="1" x14ac:dyDescent="0.2">
      <c r="A36" s="124">
        <v>41115</v>
      </c>
      <c r="B36" s="120" t="s">
        <v>495</v>
      </c>
      <c r="C36" s="120" t="s">
        <v>496</v>
      </c>
      <c r="D36" s="120" t="s">
        <v>497</v>
      </c>
      <c r="E36" s="120"/>
      <c r="F36" s="120"/>
      <c r="G36" s="120"/>
      <c r="H36" s="120" t="s">
        <v>498</v>
      </c>
      <c r="I36" s="120" t="s">
        <v>499</v>
      </c>
      <c r="J36" s="120" t="s">
        <v>339</v>
      </c>
      <c r="K36" s="120"/>
      <c r="L36" s="120"/>
      <c r="M36" s="120"/>
      <c r="N36" s="120"/>
      <c r="O36" s="120"/>
      <c r="P36" s="120"/>
      <c r="Q36" s="120"/>
    </row>
    <row r="37" spans="1:17" ht="12.75" hidden="1" customHeight="1" x14ac:dyDescent="0.2">
      <c r="A37" s="119">
        <v>41116.813946759299</v>
      </c>
      <c r="B37" s="120" t="s">
        <v>500</v>
      </c>
      <c r="C37" s="120" t="s">
        <v>501</v>
      </c>
      <c r="D37" s="120" t="s">
        <v>502</v>
      </c>
      <c r="H37" s="120" t="s">
        <v>503</v>
      </c>
      <c r="I37" s="120" t="s">
        <v>504</v>
      </c>
      <c r="J37" s="120" t="s">
        <v>492</v>
      </c>
      <c r="K37" s="120">
        <v>160</v>
      </c>
      <c r="L37" s="120" t="s">
        <v>215</v>
      </c>
      <c r="M37" s="120" t="s">
        <v>505</v>
      </c>
      <c r="P37" s="120"/>
      <c r="Q37" s="120" t="s">
        <v>330</v>
      </c>
    </row>
    <row r="38" spans="1:17" ht="12.75" hidden="1" customHeight="1" x14ac:dyDescent="0.2">
      <c r="A38" s="119">
        <v>41118.365150463003</v>
      </c>
      <c r="B38" s="120" t="s">
        <v>506</v>
      </c>
      <c r="C38" s="120" t="s">
        <v>507</v>
      </c>
      <c r="D38" s="120" t="s">
        <v>508</v>
      </c>
      <c r="H38" s="120" t="s">
        <v>509</v>
      </c>
      <c r="I38" s="120" t="s">
        <v>510</v>
      </c>
      <c r="J38" s="120" t="s">
        <v>511</v>
      </c>
      <c r="K38" s="120" t="s">
        <v>512</v>
      </c>
      <c r="L38" s="120" t="s">
        <v>215</v>
      </c>
      <c r="M38" s="120" t="s">
        <v>513</v>
      </c>
      <c r="P38" s="120" t="s">
        <v>48</v>
      </c>
      <c r="Q38" s="120" t="s">
        <v>330</v>
      </c>
    </row>
    <row r="39" spans="1:17" ht="12.75" hidden="1" customHeight="1" x14ac:dyDescent="0.2">
      <c r="A39" s="119">
        <v>41118.420555555596</v>
      </c>
      <c r="B39" s="120" t="s">
        <v>361</v>
      </c>
      <c r="C39" s="120" t="s">
        <v>514</v>
      </c>
      <c r="D39" s="120" t="s">
        <v>515</v>
      </c>
      <c r="H39" s="120" t="s">
        <v>516</v>
      </c>
      <c r="I39" s="120" t="s">
        <v>517</v>
      </c>
      <c r="J39" s="120" t="s">
        <v>518</v>
      </c>
      <c r="K39" s="120"/>
      <c r="L39" s="120" t="s">
        <v>215</v>
      </c>
      <c r="M39" s="120">
        <v>0</v>
      </c>
      <c r="P39" s="120"/>
      <c r="Q39" s="120" t="s">
        <v>330</v>
      </c>
    </row>
    <row r="40" spans="1:17" ht="12.75" hidden="1" customHeight="1" x14ac:dyDescent="0.2">
      <c r="A40" s="119">
        <v>41118.429745370398</v>
      </c>
      <c r="B40" s="120" t="s">
        <v>519</v>
      </c>
      <c r="C40" s="120" t="s">
        <v>520</v>
      </c>
      <c r="D40" s="120" t="s">
        <v>521</v>
      </c>
      <c r="H40" s="120" t="s">
        <v>522</v>
      </c>
      <c r="I40" s="120" t="s">
        <v>523</v>
      </c>
      <c r="J40" s="120" t="s">
        <v>492</v>
      </c>
      <c r="K40" s="120" t="s">
        <v>524</v>
      </c>
      <c r="L40" s="120" t="s">
        <v>215</v>
      </c>
      <c r="M40" s="120" t="s">
        <v>525</v>
      </c>
      <c r="P40" s="120"/>
      <c r="Q40" s="120" t="s">
        <v>330</v>
      </c>
    </row>
    <row r="41" spans="1:17" ht="12.75" hidden="1" customHeight="1" x14ac:dyDescent="0.2">
      <c r="A41" s="124">
        <v>41129</v>
      </c>
      <c r="B41" s="120" t="s">
        <v>526</v>
      </c>
      <c r="C41" s="120" t="s">
        <v>527</v>
      </c>
      <c r="D41" s="120" t="s">
        <v>528</v>
      </c>
      <c r="E41" s="120"/>
      <c r="F41" s="120"/>
      <c r="G41" s="120"/>
      <c r="H41" s="120" t="s">
        <v>529</v>
      </c>
      <c r="I41" s="120" t="s">
        <v>530</v>
      </c>
      <c r="J41" s="120" t="s">
        <v>414</v>
      </c>
      <c r="K41" s="120">
        <v>18</v>
      </c>
      <c r="L41" s="120" t="s">
        <v>441</v>
      </c>
      <c r="M41" s="120"/>
      <c r="N41" s="120"/>
      <c r="O41" s="120"/>
      <c r="P41" s="120"/>
      <c r="Q41" s="120"/>
    </row>
    <row r="42" spans="1:17" ht="12.75" hidden="1" customHeight="1" x14ac:dyDescent="0.2">
      <c r="A42" s="126">
        <v>41360.571712962999</v>
      </c>
      <c r="B42" s="127" t="s">
        <v>531</v>
      </c>
      <c r="C42" s="127" t="s">
        <v>532</v>
      </c>
      <c r="D42" s="120" t="s">
        <v>533</v>
      </c>
      <c r="H42" s="120" t="s">
        <v>534</v>
      </c>
      <c r="I42" s="120">
        <v>8608578748</v>
      </c>
      <c r="J42" s="120" t="s">
        <v>535</v>
      </c>
      <c r="K42" s="120">
        <v>18</v>
      </c>
      <c r="L42" s="120" t="s">
        <v>215</v>
      </c>
      <c r="M42" s="120">
        <v>660</v>
      </c>
      <c r="P42" s="120"/>
      <c r="Q42" s="120" t="s">
        <v>330</v>
      </c>
    </row>
    <row r="43" spans="1:17" ht="12.75" hidden="1" customHeight="1" x14ac:dyDescent="0.2">
      <c r="A43" s="119">
        <v>41361.327962962998</v>
      </c>
      <c r="B43" s="120" t="s">
        <v>536</v>
      </c>
      <c r="C43" s="120" t="s">
        <v>537</v>
      </c>
      <c r="D43" s="120" t="s">
        <v>538</v>
      </c>
      <c r="H43" s="120" t="s">
        <v>539</v>
      </c>
      <c r="I43" s="120" t="s">
        <v>540</v>
      </c>
      <c r="J43" s="120" t="s">
        <v>541</v>
      </c>
      <c r="K43" s="125">
        <v>18</v>
      </c>
      <c r="L43" s="120" t="s">
        <v>360</v>
      </c>
      <c r="M43" s="120" t="s">
        <v>442</v>
      </c>
      <c r="P43" s="120"/>
      <c r="Q43" s="120" t="s">
        <v>330</v>
      </c>
    </row>
    <row r="44" spans="1:17" ht="12.75" hidden="1" customHeight="1" x14ac:dyDescent="0.2">
      <c r="A44" s="119">
        <v>41367.427210648202</v>
      </c>
      <c r="B44" s="120" t="s">
        <v>400</v>
      </c>
      <c r="C44" s="120" t="s">
        <v>226</v>
      </c>
      <c r="D44" s="120" t="s">
        <v>401</v>
      </c>
      <c r="H44" s="120" t="s">
        <v>402</v>
      </c>
      <c r="I44" s="120" t="s">
        <v>403</v>
      </c>
      <c r="J44" s="120" t="s">
        <v>352</v>
      </c>
      <c r="K44" s="120">
        <v>16</v>
      </c>
      <c r="L44" s="120" t="s">
        <v>215</v>
      </c>
      <c r="M44" s="120">
        <v>3500</v>
      </c>
      <c r="P44" s="120"/>
      <c r="Q44" s="120" t="s">
        <v>330</v>
      </c>
    </row>
    <row r="45" spans="1:17" ht="12.75" hidden="1" customHeight="1" x14ac:dyDescent="0.2">
      <c r="A45" s="119">
        <v>41367.918275463002</v>
      </c>
      <c r="B45" s="120" t="s">
        <v>542</v>
      </c>
      <c r="C45" s="120" t="s">
        <v>543</v>
      </c>
      <c r="D45" s="120" t="s">
        <v>544</v>
      </c>
      <c r="H45" s="120" t="s">
        <v>545</v>
      </c>
      <c r="I45" s="120" t="s">
        <v>546</v>
      </c>
      <c r="J45" s="120" t="s">
        <v>352</v>
      </c>
      <c r="K45" s="125">
        <v>16</v>
      </c>
      <c r="L45" s="120" t="s">
        <v>360</v>
      </c>
      <c r="M45" s="120">
        <v>1234567890</v>
      </c>
      <c r="P45" s="120" t="s">
        <v>547</v>
      </c>
      <c r="Q45" s="120" t="s">
        <v>330</v>
      </c>
    </row>
    <row r="46" spans="1:17" ht="12.75" hidden="1" customHeight="1" x14ac:dyDescent="0.2">
      <c r="A46" s="128">
        <v>41377.524618055599</v>
      </c>
      <c r="B46" s="129" t="s">
        <v>322</v>
      </c>
      <c r="C46" s="129" t="s">
        <v>13</v>
      </c>
      <c r="D46" s="120"/>
      <c r="H46" s="120" t="s">
        <v>331</v>
      </c>
      <c r="I46" s="120" t="s">
        <v>325</v>
      </c>
      <c r="J46" s="120" t="s">
        <v>548</v>
      </c>
      <c r="K46" s="120" t="s">
        <v>327</v>
      </c>
      <c r="L46" s="120" t="s">
        <v>215</v>
      </c>
      <c r="M46" s="120">
        <v>2542</v>
      </c>
      <c r="P46" s="120" t="s">
        <v>549</v>
      </c>
      <c r="Q46" s="120" t="s">
        <v>330</v>
      </c>
    </row>
    <row r="47" spans="1:17" ht="12.75" hidden="1" customHeight="1" x14ac:dyDescent="0.2">
      <c r="A47" s="119">
        <v>41388.598993055602</v>
      </c>
      <c r="B47" s="120" t="s">
        <v>550</v>
      </c>
      <c r="C47" s="120" t="s">
        <v>551</v>
      </c>
      <c r="D47" s="120" t="s">
        <v>552</v>
      </c>
      <c r="H47" s="120" t="s">
        <v>553</v>
      </c>
      <c r="I47" s="120" t="s">
        <v>554</v>
      </c>
      <c r="J47" s="120" t="s">
        <v>339</v>
      </c>
      <c r="K47" s="125">
        <v>16</v>
      </c>
      <c r="L47" s="120" t="s">
        <v>360</v>
      </c>
      <c r="M47" s="120" t="s">
        <v>555</v>
      </c>
      <c r="P47" s="120"/>
      <c r="Q47" s="120" t="s">
        <v>330</v>
      </c>
    </row>
    <row r="48" spans="1:17" ht="12.75" hidden="1" customHeight="1" x14ac:dyDescent="0.2">
      <c r="A48" s="119">
        <v>41400.412604166697</v>
      </c>
      <c r="B48" s="120" t="s">
        <v>556</v>
      </c>
      <c r="C48" s="120" t="s">
        <v>7</v>
      </c>
      <c r="D48" s="120"/>
      <c r="H48" s="120" t="s">
        <v>557</v>
      </c>
      <c r="I48" s="120" t="s">
        <v>558</v>
      </c>
      <c r="J48" s="120" t="s">
        <v>559</v>
      </c>
      <c r="K48" s="120">
        <v>11</v>
      </c>
      <c r="L48" s="120" t="s">
        <v>360</v>
      </c>
      <c r="M48" s="120">
        <v>5009</v>
      </c>
      <c r="P48" s="120" t="s">
        <v>560</v>
      </c>
      <c r="Q48" s="120" t="s">
        <v>330</v>
      </c>
    </row>
    <row r="49" spans="1:21" hidden="1" x14ac:dyDescent="0.2">
      <c r="A49" s="119">
        <v>41400.451203703698</v>
      </c>
      <c r="B49" s="120" t="s">
        <v>561</v>
      </c>
      <c r="C49" s="120" t="s">
        <v>225</v>
      </c>
      <c r="D49" s="120" t="s">
        <v>562</v>
      </c>
      <c r="H49" s="120" t="s">
        <v>563</v>
      </c>
      <c r="I49" s="120" t="s">
        <v>564</v>
      </c>
      <c r="J49" s="120" t="s">
        <v>339</v>
      </c>
      <c r="K49" s="120">
        <v>15</v>
      </c>
      <c r="L49" s="120" t="s">
        <v>215</v>
      </c>
      <c r="M49" s="120">
        <v>3628</v>
      </c>
      <c r="P49" s="120"/>
      <c r="Q49" s="120" t="s">
        <v>330</v>
      </c>
    </row>
    <row r="50" spans="1:21" hidden="1" x14ac:dyDescent="0.2">
      <c r="A50" s="119">
        <v>41401.918865740699</v>
      </c>
      <c r="B50" s="120" t="s">
        <v>356</v>
      </c>
      <c r="C50" s="120" t="s">
        <v>357</v>
      </c>
      <c r="D50" s="120">
        <v>2828</v>
      </c>
      <c r="H50" s="120" t="s">
        <v>358</v>
      </c>
      <c r="I50" s="120" t="s">
        <v>359</v>
      </c>
      <c r="J50" s="120" t="s">
        <v>339</v>
      </c>
      <c r="K50" s="120">
        <v>11</v>
      </c>
      <c r="L50" s="120" t="s">
        <v>360</v>
      </c>
      <c r="M50" s="120">
        <v>3510</v>
      </c>
      <c r="P50" s="120"/>
      <c r="Q50" s="120" t="s">
        <v>330</v>
      </c>
    </row>
    <row r="51" spans="1:21" ht="38.25" hidden="1" x14ac:dyDescent="0.2">
      <c r="A51" s="119">
        <v>41407.899097222202</v>
      </c>
      <c r="B51" s="120" t="s">
        <v>389</v>
      </c>
      <c r="C51" s="120" t="s">
        <v>396</v>
      </c>
      <c r="D51" s="120" t="s">
        <v>565</v>
      </c>
      <c r="H51" s="120" t="s">
        <v>398</v>
      </c>
      <c r="I51" s="120" t="s">
        <v>399</v>
      </c>
      <c r="J51" s="120" t="s">
        <v>352</v>
      </c>
      <c r="K51" s="120">
        <v>17</v>
      </c>
      <c r="L51" s="120" t="s">
        <v>328</v>
      </c>
      <c r="M51" s="120">
        <v>3060</v>
      </c>
      <c r="P51" s="120"/>
      <c r="Q51" s="120" t="s">
        <v>330</v>
      </c>
    </row>
    <row r="52" spans="1:21" ht="25.5" hidden="1" x14ac:dyDescent="0.2">
      <c r="A52" s="130">
        <v>41409.4128472222</v>
      </c>
      <c r="B52" s="131" t="s">
        <v>347</v>
      </c>
      <c r="C52" s="131" t="s">
        <v>348</v>
      </c>
      <c r="D52" s="131" t="s">
        <v>566</v>
      </c>
      <c r="E52" s="132"/>
      <c r="F52" s="132"/>
      <c r="G52" s="132"/>
      <c r="H52" s="131" t="s">
        <v>350</v>
      </c>
      <c r="I52" s="131" t="s">
        <v>351</v>
      </c>
      <c r="J52" s="131" t="s">
        <v>352</v>
      </c>
      <c r="K52" s="131">
        <v>7</v>
      </c>
      <c r="L52" s="131" t="s">
        <v>215</v>
      </c>
      <c r="M52" s="131">
        <v>3555</v>
      </c>
      <c r="N52" s="132"/>
      <c r="O52" s="132"/>
      <c r="P52" s="131"/>
      <c r="Q52" s="131" t="s">
        <v>330</v>
      </c>
      <c r="R52" s="132"/>
      <c r="S52" s="132"/>
      <c r="T52" s="132"/>
      <c r="U52" s="132"/>
    </row>
    <row r="53" spans="1:21" ht="25.5" hidden="1" x14ac:dyDescent="0.2">
      <c r="A53" s="133">
        <v>41409</v>
      </c>
      <c r="B53" s="134" t="s">
        <v>400</v>
      </c>
      <c r="C53" s="134" t="s">
        <v>567</v>
      </c>
      <c r="D53" s="134" t="s">
        <v>568</v>
      </c>
      <c r="E53" s="134"/>
      <c r="F53" s="134"/>
      <c r="G53" s="134"/>
      <c r="H53" s="134" t="s">
        <v>569</v>
      </c>
      <c r="I53" s="134" t="s">
        <v>570</v>
      </c>
      <c r="J53" s="134" t="s">
        <v>352</v>
      </c>
      <c r="K53" s="134">
        <v>7</v>
      </c>
      <c r="L53" s="134" t="s">
        <v>459</v>
      </c>
      <c r="M53" s="134">
        <v>3560</v>
      </c>
      <c r="N53" s="134"/>
      <c r="O53" s="134"/>
      <c r="P53" s="134"/>
      <c r="Q53" s="134"/>
      <c r="R53" s="135"/>
      <c r="S53" s="135"/>
      <c r="T53" s="135"/>
      <c r="U53" s="135"/>
    </row>
    <row r="54" spans="1:21" ht="25.5" hidden="1" x14ac:dyDescent="0.2">
      <c r="A54" s="124">
        <v>41409</v>
      </c>
      <c r="B54" s="120" t="s">
        <v>571</v>
      </c>
      <c r="C54" s="120" t="s">
        <v>10</v>
      </c>
      <c r="D54" s="120" t="s">
        <v>572</v>
      </c>
      <c r="E54" s="120"/>
      <c r="F54" s="120"/>
      <c r="G54" s="120"/>
      <c r="H54" s="120" t="s">
        <v>573</v>
      </c>
      <c r="I54" s="120" t="s">
        <v>574</v>
      </c>
      <c r="J54" s="120" t="s">
        <v>352</v>
      </c>
      <c r="K54" s="120">
        <v>19</v>
      </c>
      <c r="L54" s="120" t="s">
        <v>429</v>
      </c>
      <c r="M54" s="120"/>
      <c r="N54" s="120"/>
      <c r="O54" s="120"/>
      <c r="P54" s="120"/>
      <c r="Q54" s="120"/>
    </row>
    <row r="55" spans="1:21" ht="25.5" hidden="1" x14ac:dyDescent="0.2">
      <c r="A55" s="124">
        <v>41409</v>
      </c>
      <c r="B55" s="120" t="s">
        <v>575</v>
      </c>
      <c r="C55" s="120" t="s">
        <v>8</v>
      </c>
      <c r="D55" s="120" t="s">
        <v>576</v>
      </c>
      <c r="E55" s="120"/>
      <c r="F55" s="120"/>
      <c r="G55" s="120"/>
      <c r="H55" s="120" t="s">
        <v>577</v>
      </c>
      <c r="I55" s="120" t="s">
        <v>578</v>
      </c>
      <c r="J55" s="120" t="s">
        <v>352</v>
      </c>
      <c r="K55" s="120">
        <v>19</v>
      </c>
      <c r="L55" s="120" t="s">
        <v>459</v>
      </c>
      <c r="M55" s="120"/>
      <c r="N55" s="120"/>
      <c r="O55" s="120"/>
      <c r="P55" s="120"/>
      <c r="Q55" s="120"/>
    </row>
    <row r="56" spans="1:21" ht="25.5" hidden="1" x14ac:dyDescent="0.2">
      <c r="A56" s="124">
        <v>41409</v>
      </c>
      <c r="B56" s="120" t="s">
        <v>379</v>
      </c>
      <c r="C56" s="120" t="s">
        <v>380</v>
      </c>
      <c r="D56" s="120" t="s">
        <v>579</v>
      </c>
      <c r="E56" s="120"/>
      <c r="F56" s="120"/>
      <c r="G56" s="120"/>
      <c r="H56" s="120" t="s">
        <v>382</v>
      </c>
      <c r="I56" s="120" t="s">
        <v>580</v>
      </c>
      <c r="J56" s="120" t="s">
        <v>352</v>
      </c>
      <c r="K56" s="120">
        <v>1</v>
      </c>
      <c r="L56" s="120" t="s">
        <v>441</v>
      </c>
      <c r="M56" s="120">
        <v>5004</v>
      </c>
      <c r="N56" s="120"/>
      <c r="O56" s="120"/>
      <c r="P56" s="120"/>
      <c r="Q56" s="120"/>
    </row>
    <row r="57" spans="1:21" ht="25.5" hidden="1" x14ac:dyDescent="0.2">
      <c r="A57" s="124">
        <v>41409</v>
      </c>
      <c r="B57" s="120" t="s">
        <v>581</v>
      </c>
      <c r="C57" s="120" t="s">
        <v>582</v>
      </c>
      <c r="D57" s="120" t="s">
        <v>583</v>
      </c>
      <c r="E57" s="120"/>
      <c r="F57" s="120"/>
      <c r="G57" s="120"/>
      <c r="H57" s="120" t="s">
        <v>584</v>
      </c>
      <c r="I57" s="120" t="s">
        <v>585</v>
      </c>
      <c r="J57" s="120" t="s">
        <v>352</v>
      </c>
      <c r="K57" s="120">
        <v>7</v>
      </c>
      <c r="L57" s="120" t="s">
        <v>441</v>
      </c>
      <c r="M57" s="120"/>
      <c r="N57" s="120"/>
      <c r="O57" s="120"/>
      <c r="P57" s="120"/>
      <c r="Q57" s="120"/>
    </row>
    <row r="58" spans="1:21" ht="25.5" hidden="1" x14ac:dyDescent="0.2">
      <c r="A58" s="119">
        <v>41414.5101967593</v>
      </c>
      <c r="B58" s="120" t="s">
        <v>410</v>
      </c>
      <c r="C58" s="120" t="s">
        <v>266</v>
      </c>
      <c r="D58" s="120" t="s">
        <v>586</v>
      </c>
      <c r="H58" s="120" t="s">
        <v>587</v>
      </c>
      <c r="I58" s="120" t="s">
        <v>588</v>
      </c>
      <c r="J58" s="120" t="s">
        <v>339</v>
      </c>
      <c r="K58" s="120" t="s">
        <v>589</v>
      </c>
      <c r="L58" s="120" t="s">
        <v>360</v>
      </c>
      <c r="M58" s="120">
        <v>5003</v>
      </c>
      <c r="P58" s="120" t="s">
        <v>590</v>
      </c>
      <c r="Q58" s="120" t="s">
        <v>330</v>
      </c>
    </row>
    <row r="59" spans="1:21" ht="25.5" hidden="1" x14ac:dyDescent="0.2">
      <c r="A59" s="119">
        <v>41415.013831018499</v>
      </c>
      <c r="B59" s="120" t="s">
        <v>361</v>
      </c>
      <c r="C59" s="120" t="s">
        <v>221</v>
      </c>
      <c r="D59" s="120" t="s">
        <v>591</v>
      </c>
      <c r="H59" s="120" t="s">
        <v>363</v>
      </c>
      <c r="I59" s="120" t="s">
        <v>364</v>
      </c>
      <c r="J59" s="120" t="s">
        <v>339</v>
      </c>
      <c r="K59" s="120" t="s">
        <v>592</v>
      </c>
      <c r="L59" s="120" t="s">
        <v>215</v>
      </c>
      <c r="M59" s="120">
        <v>3227</v>
      </c>
      <c r="P59" s="120"/>
      <c r="Q59" s="120" t="s">
        <v>330</v>
      </c>
    </row>
    <row r="60" spans="1:21" ht="38.25" hidden="1" x14ac:dyDescent="0.2">
      <c r="A60" s="119">
        <v>41415.404039351801</v>
      </c>
      <c r="B60" s="120" t="s">
        <v>372</v>
      </c>
      <c r="C60" s="120" t="s">
        <v>373</v>
      </c>
      <c r="D60" s="120" t="s">
        <v>593</v>
      </c>
      <c r="H60" s="120" t="s">
        <v>375</v>
      </c>
      <c r="I60" s="120" t="s">
        <v>376</v>
      </c>
      <c r="J60" s="120" t="s">
        <v>352</v>
      </c>
      <c r="K60" s="120">
        <v>1</v>
      </c>
      <c r="L60" s="120" t="s">
        <v>360</v>
      </c>
      <c r="M60" s="120">
        <v>785</v>
      </c>
      <c r="P60" s="120"/>
      <c r="Q60" s="120" t="s">
        <v>330</v>
      </c>
    </row>
    <row r="61" spans="1:21" ht="25.5" hidden="1" x14ac:dyDescent="0.2">
      <c r="A61" s="119">
        <v>41416.378263888902</v>
      </c>
      <c r="B61" s="120" t="s">
        <v>594</v>
      </c>
      <c r="C61" s="120" t="s">
        <v>595</v>
      </c>
      <c r="D61" s="120"/>
      <c r="H61" s="120" t="s">
        <v>596</v>
      </c>
      <c r="I61" s="120" t="s">
        <v>597</v>
      </c>
      <c r="J61" s="120" t="s">
        <v>352</v>
      </c>
      <c r="K61" s="120" t="s">
        <v>598</v>
      </c>
      <c r="L61" s="120" t="s">
        <v>360</v>
      </c>
      <c r="M61" s="120" t="s">
        <v>599</v>
      </c>
      <c r="P61" s="120"/>
      <c r="Q61" s="120" t="s">
        <v>330</v>
      </c>
    </row>
    <row r="62" spans="1:21" ht="38.25" hidden="1" x14ac:dyDescent="0.2">
      <c r="A62" s="119">
        <v>41424.364143518498</v>
      </c>
      <c r="B62" s="120" t="s">
        <v>600</v>
      </c>
      <c r="C62" s="120" t="s">
        <v>601</v>
      </c>
      <c r="D62" s="120" t="s">
        <v>602</v>
      </c>
      <c r="H62" s="120" t="s">
        <v>603</v>
      </c>
      <c r="I62" s="120" t="s">
        <v>604</v>
      </c>
      <c r="J62" s="120" t="s">
        <v>414</v>
      </c>
      <c r="K62" s="120" t="s">
        <v>605</v>
      </c>
      <c r="L62" s="120" t="s">
        <v>360</v>
      </c>
      <c r="M62" s="120" t="s">
        <v>606</v>
      </c>
      <c r="P62" s="120" t="s">
        <v>607</v>
      </c>
      <c r="Q62" s="120" t="s">
        <v>330</v>
      </c>
    </row>
    <row r="63" spans="1:21" ht="25.5" hidden="1" x14ac:dyDescent="0.2">
      <c r="A63" s="124">
        <v>41423</v>
      </c>
      <c r="B63" s="120" t="s">
        <v>424</v>
      </c>
      <c r="C63" s="120" t="s">
        <v>425</v>
      </c>
      <c r="D63" s="120" t="s">
        <v>608</v>
      </c>
      <c r="E63" s="120"/>
      <c r="F63" s="120"/>
      <c r="G63" s="120"/>
      <c r="H63" s="120" t="s">
        <v>427</v>
      </c>
      <c r="I63" s="120" t="s">
        <v>428</v>
      </c>
      <c r="J63" s="120" t="s">
        <v>423</v>
      </c>
      <c r="K63" s="120">
        <v>12</v>
      </c>
      <c r="L63" s="120" t="s">
        <v>429</v>
      </c>
      <c r="M63" s="120" t="s">
        <v>609</v>
      </c>
      <c r="N63" s="120"/>
      <c r="O63" s="120"/>
      <c r="P63" s="120"/>
      <c r="Q63" s="120"/>
    </row>
    <row r="64" spans="1:21" ht="38.25" hidden="1" x14ac:dyDescent="0.2">
      <c r="A64" s="124">
        <v>41423</v>
      </c>
      <c r="B64" s="120" t="s">
        <v>575</v>
      </c>
      <c r="C64" s="120" t="s">
        <v>431</v>
      </c>
      <c r="D64" s="120" t="s">
        <v>610</v>
      </c>
      <c r="E64" s="120"/>
      <c r="F64" s="120"/>
      <c r="G64" s="120"/>
      <c r="H64" s="120" t="s">
        <v>433</v>
      </c>
      <c r="I64" s="120" t="s">
        <v>611</v>
      </c>
      <c r="J64" s="120" t="s">
        <v>423</v>
      </c>
      <c r="K64" s="120">
        <v>12</v>
      </c>
      <c r="L64" s="120" t="s">
        <v>459</v>
      </c>
      <c r="M64" s="120"/>
      <c r="N64" s="120"/>
      <c r="O64" s="120"/>
      <c r="P64" s="120"/>
      <c r="Q64" s="120"/>
    </row>
    <row r="65" spans="1:21" ht="25.5" hidden="1" x14ac:dyDescent="0.2">
      <c r="A65" s="124">
        <v>41423</v>
      </c>
      <c r="B65" s="120" t="s">
        <v>612</v>
      </c>
      <c r="C65" s="120" t="s">
        <v>437</v>
      </c>
      <c r="D65" s="120" t="s">
        <v>613</v>
      </c>
      <c r="E65" s="120"/>
      <c r="F65" s="120"/>
      <c r="G65" s="120"/>
      <c r="H65" s="120" t="s">
        <v>614</v>
      </c>
      <c r="I65" s="120" t="s">
        <v>440</v>
      </c>
      <c r="J65" s="120" t="s">
        <v>423</v>
      </c>
      <c r="K65" s="120">
        <v>12</v>
      </c>
      <c r="L65" s="120" t="s">
        <v>441</v>
      </c>
      <c r="M65" s="120"/>
      <c r="N65" s="120"/>
      <c r="O65" s="120"/>
      <c r="P65" s="120"/>
      <c r="Q65" s="120"/>
    </row>
    <row r="66" spans="1:21" ht="25.5" hidden="1" x14ac:dyDescent="0.2">
      <c r="A66" s="124">
        <v>41423</v>
      </c>
      <c r="B66" s="120" t="s">
        <v>615</v>
      </c>
      <c r="C66" s="120" t="s">
        <v>616</v>
      </c>
      <c r="D66" s="120" t="s">
        <v>617</v>
      </c>
      <c r="E66" s="120"/>
      <c r="F66" s="120"/>
      <c r="G66" s="120"/>
      <c r="H66" s="120" t="s">
        <v>618</v>
      </c>
      <c r="I66" s="120" t="s">
        <v>619</v>
      </c>
      <c r="J66" s="120" t="s">
        <v>423</v>
      </c>
      <c r="K66" s="120">
        <v>12</v>
      </c>
      <c r="L66" s="120" t="s">
        <v>441</v>
      </c>
      <c r="M66" s="120"/>
      <c r="N66" s="120"/>
      <c r="O66" s="120"/>
      <c r="P66" s="120"/>
      <c r="Q66" s="120"/>
    </row>
    <row r="67" spans="1:21" ht="25.5" hidden="1" x14ac:dyDescent="0.2">
      <c r="A67" s="124">
        <v>41423</v>
      </c>
      <c r="B67" s="120" t="s">
        <v>620</v>
      </c>
      <c r="C67" s="120" t="s">
        <v>335</v>
      </c>
      <c r="D67" s="120" t="s">
        <v>621</v>
      </c>
      <c r="E67" s="120"/>
      <c r="F67" s="120"/>
      <c r="G67" s="120"/>
      <c r="H67" s="120" t="s">
        <v>622</v>
      </c>
      <c r="I67" s="120" t="s">
        <v>623</v>
      </c>
      <c r="J67" s="120" t="s">
        <v>423</v>
      </c>
      <c r="K67" s="120">
        <v>5</v>
      </c>
      <c r="L67" s="120" t="s">
        <v>429</v>
      </c>
      <c r="M67" s="120"/>
      <c r="N67" s="120"/>
      <c r="O67" s="120"/>
      <c r="P67" s="120"/>
      <c r="Q67" s="120"/>
    </row>
    <row r="68" spans="1:21" ht="25.5" hidden="1" x14ac:dyDescent="0.2">
      <c r="A68" s="124">
        <v>41423</v>
      </c>
      <c r="B68" s="120" t="s">
        <v>624</v>
      </c>
      <c r="C68" s="120" t="s">
        <v>625</v>
      </c>
      <c r="D68" s="120" t="s">
        <v>626</v>
      </c>
      <c r="E68" s="120"/>
      <c r="F68" s="120"/>
      <c r="G68" s="120"/>
      <c r="H68" s="120" t="s">
        <v>627</v>
      </c>
      <c r="I68" s="120" t="s">
        <v>628</v>
      </c>
      <c r="J68" s="120" t="s">
        <v>423</v>
      </c>
      <c r="K68" s="120">
        <v>5</v>
      </c>
      <c r="L68" s="120" t="s">
        <v>459</v>
      </c>
      <c r="M68" s="120"/>
      <c r="N68" s="120"/>
      <c r="O68" s="120"/>
      <c r="P68" s="120"/>
      <c r="Q68" s="120"/>
    </row>
    <row r="69" spans="1:21" ht="25.5" hidden="1" x14ac:dyDescent="0.2">
      <c r="A69" s="124">
        <v>41423</v>
      </c>
      <c r="B69" s="120" t="s">
        <v>629</v>
      </c>
      <c r="C69" s="120" t="s">
        <v>630</v>
      </c>
      <c r="D69" s="120" t="s">
        <v>631</v>
      </c>
      <c r="E69" s="120"/>
      <c r="F69" s="120"/>
      <c r="G69" s="120"/>
      <c r="H69" s="120" t="s">
        <v>632</v>
      </c>
      <c r="I69" s="120" t="s">
        <v>633</v>
      </c>
      <c r="J69" s="120" t="s">
        <v>423</v>
      </c>
      <c r="K69" s="120">
        <v>5</v>
      </c>
      <c r="L69" s="120" t="s">
        <v>441</v>
      </c>
      <c r="M69" s="120"/>
      <c r="N69" s="120"/>
      <c r="O69" s="120"/>
      <c r="P69" s="120"/>
      <c r="Q69" s="120"/>
    </row>
    <row r="70" spans="1:21" ht="25.5" hidden="1" x14ac:dyDescent="0.2">
      <c r="A70" s="136">
        <v>41423</v>
      </c>
      <c r="B70" s="131" t="s">
        <v>634</v>
      </c>
      <c r="C70" s="131" t="s">
        <v>635</v>
      </c>
      <c r="D70" s="131" t="s">
        <v>636</v>
      </c>
      <c r="E70" s="131"/>
      <c r="F70" s="131"/>
      <c r="G70" s="131"/>
      <c r="H70" s="131" t="s">
        <v>637</v>
      </c>
      <c r="I70" s="131" t="s">
        <v>638</v>
      </c>
      <c r="J70" s="131" t="s">
        <v>414</v>
      </c>
      <c r="K70" s="131" t="s">
        <v>639</v>
      </c>
      <c r="L70" s="131" t="s">
        <v>441</v>
      </c>
      <c r="M70" s="131"/>
      <c r="N70" s="131"/>
      <c r="O70" s="131"/>
      <c r="P70" s="137"/>
      <c r="Q70" s="137"/>
      <c r="R70" s="11"/>
      <c r="S70" s="11"/>
      <c r="T70" s="11"/>
      <c r="U70" s="11"/>
    </row>
    <row r="71" spans="1:21" ht="25.5" hidden="1" x14ac:dyDescent="0.2">
      <c r="A71" s="133">
        <v>41430</v>
      </c>
      <c r="B71" s="134" t="s">
        <v>640</v>
      </c>
      <c r="C71" s="134" t="s">
        <v>641</v>
      </c>
      <c r="D71" s="134" t="s">
        <v>642</v>
      </c>
      <c r="E71" s="134"/>
      <c r="F71" s="134"/>
      <c r="G71" s="134"/>
      <c r="H71" s="134" t="s">
        <v>369</v>
      </c>
      <c r="I71" s="134" t="s">
        <v>643</v>
      </c>
      <c r="J71" s="134" t="s">
        <v>644</v>
      </c>
      <c r="K71" s="134">
        <v>19</v>
      </c>
      <c r="L71" s="134" t="s">
        <v>645</v>
      </c>
      <c r="M71" s="134">
        <v>3591</v>
      </c>
      <c r="N71" s="134"/>
      <c r="O71" s="134"/>
      <c r="P71" s="138"/>
      <c r="Q71" s="138"/>
      <c r="R71" s="95"/>
      <c r="S71" s="95"/>
      <c r="T71" s="95"/>
      <c r="U71" s="95"/>
    </row>
    <row r="72" spans="1:21" ht="25.5" hidden="1" x14ac:dyDescent="0.2">
      <c r="A72" s="124">
        <v>41430</v>
      </c>
      <c r="B72" s="120" t="s">
        <v>430</v>
      </c>
      <c r="C72" s="120" t="s">
        <v>37</v>
      </c>
      <c r="D72" s="120" t="s">
        <v>646</v>
      </c>
      <c r="E72" s="120"/>
      <c r="F72" s="120"/>
      <c r="G72" s="120"/>
      <c r="H72" s="120" t="s">
        <v>407</v>
      </c>
      <c r="I72" s="120" t="s">
        <v>647</v>
      </c>
      <c r="J72" s="120" t="s">
        <v>414</v>
      </c>
      <c r="K72" s="120">
        <v>12</v>
      </c>
      <c r="L72" s="120" t="s">
        <v>441</v>
      </c>
      <c r="M72" s="120"/>
      <c r="N72" s="120"/>
      <c r="O72" s="120"/>
      <c r="P72" s="120"/>
      <c r="Q72" s="120"/>
    </row>
    <row r="73" spans="1:21" ht="25.5" hidden="1" x14ac:dyDescent="0.2">
      <c r="A73" s="124">
        <v>41430</v>
      </c>
      <c r="B73" s="120" t="s">
        <v>634</v>
      </c>
      <c r="C73" s="120" t="s">
        <v>648</v>
      </c>
      <c r="D73" s="120" t="s">
        <v>649</v>
      </c>
      <c r="E73" s="120"/>
      <c r="F73" s="120"/>
      <c r="G73" s="120"/>
      <c r="H73" s="120" t="s">
        <v>650</v>
      </c>
      <c r="I73" s="120" t="s">
        <v>651</v>
      </c>
      <c r="J73" s="120" t="s">
        <v>414</v>
      </c>
      <c r="K73" s="120">
        <v>17</v>
      </c>
      <c r="L73" s="120" t="s">
        <v>441</v>
      </c>
      <c r="M73" s="120"/>
      <c r="N73" s="120"/>
      <c r="O73" s="120"/>
      <c r="P73" s="120"/>
      <c r="Q73" s="120"/>
    </row>
    <row r="74" spans="1:21" ht="25.5" hidden="1" x14ac:dyDescent="0.2">
      <c r="A74" s="119">
        <v>41437.418888888897</v>
      </c>
      <c r="B74" s="120" t="s">
        <v>652</v>
      </c>
      <c r="C74" s="120" t="s">
        <v>653</v>
      </c>
      <c r="D74" s="120" t="s">
        <v>654</v>
      </c>
      <c r="H74" s="120" t="s">
        <v>655</v>
      </c>
      <c r="I74" s="120">
        <v>4018479838</v>
      </c>
      <c r="J74" s="120" t="s">
        <v>339</v>
      </c>
      <c r="K74" s="120"/>
      <c r="L74" s="120" t="s">
        <v>360</v>
      </c>
      <c r="M74" s="120" t="s">
        <v>656</v>
      </c>
      <c r="P74" s="120"/>
      <c r="Q74" s="120" t="s">
        <v>330</v>
      </c>
    </row>
    <row r="75" spans="1:21" ht="25.5" hidden="1" x14ac:dyDescent="0.2">
      <c r="A75" s="119">
        <v>41439.851365740702</v>
      </c>
      <c r="B75" s="120" t="s">
        <v>458</v>
      </c>
      <c r="C75" s="120" t="s">
        <v>454</v>
      </c>
      <c r="D75" s="120" t="s">
        <v>657</v>
      </c>
      <c r="H75" s="120" t="s">
        <v>456</v>
      </c>
      <c r="I75" s="120" t="s">
        <v>658</v>
      </c>
      <c r="J75" s="120" t="s">
        <v>423</v>
      </c>
      <c r="K75" s="120">
        <v>17</v>
      </c>
      <c r="L75" s="120" t="s">
        <v>215</v>
      </c>
      <c r="M75" s="120">
        <v>2677</v>
      </c>
      <c r="P75" s="120"/>
      <c r="Q75" s="120" t="s">
        <v>330</v>
      </c>
    </row>
    <row r="76" spans="1:21" ht="25.5" hidden="1" x14ac:dyDescent="0.2">
      <c r="A76" s="119">
        <v>41439.851840277799</v>
      </c>
      <c r="B76" s="120" t="s">
        <v>453</v>
      </c>
      <c r="C76" s="120" t="s">
        <v>659</v>
      </c>
      <c r="D76" s="120"/>
      <c r="H76" s="120" t="s">
        <v>456</v>
      </c>
      <c r="I76" s="120" t="s">
        <v>658</v>
      </c>
      <c r="J76" s="120" t="s">
        <v>423</v>
      </c>
      <c r="K76" s="120">
        <v>17</v>
      </c>
      <c r="L76" s="120" t="s">
        <v>360</v>
      </c>
      <c r="M76" s="120">
        <v>2677</v>
      </c>
      <c r="P76" s="120"/>
      <c r="Q76" s="120" t="s">
        <v>330</v>
      </c>
    </row>
    <row r="77" spans="1:21" hidden="1" x14ac:dyDescent="0.2">
      <c r="A77" s="119">
        <v>41439.852199074099</v>
      </c>
      <c r="B77" s="120" t="s">
        <v>660</v>
      </c>
      <c r="C77" s="120" t="s">
        <v>454</v>
      </c>
      <c r="D77" s="120"/>
      <c r="H77" s="120" t="s">
        <v>456</v>
      </c>
      <c r="I77" s="120" t="s">
        <v>658</v>
      </c>
      <c r="J77" s="120" t="s">
        <v>423</v>
      </c>
      <c r="K77" s="120">
        <v>17</v>
      </c>
      <c r="L77" s="120" t="s">
        <v>360</v>
      </c>
      <c r="M77" s="120">
        <v>2677</v>
      </c>
      <c r="P77" s="120"/>
      <c r="Q77" s="120" t="s">
        <v>330</v>
      </c>
    </row>
    <row r="78" spans="1:21" ht="38.25" hidden="1" x14ac:dyDescent="0.2">
      <c r="A78" s="119">
        <v>41443.653900463003</v>
      </c>
      <c r="B78" s="120" t="s">
        <v>661</v>
      </c>
      <c r="C78" s="120" t="s">
        <v>662</v>
      </c>
      <c r="D78" s="120" t="s">
        <v>663</v>
      </c>
      <c r="H78" s="120" t="s">
        <v>664</v>
      </c>
      <c r="I78" s="120" t="s">
        <v>665</v>
      </c>
      <c r="J78" s="120" t="s">
        <v>414</v>
      </c>
      <c r="K78" s="120" t="s">
        <v>666</v>
      </c>
      <c r="L78" s="120" t="s">
        <v>360</v>
      </c>
      <c r="M78" s="120">
        <v>5555</v>
      </c>
      <c r="P78" s="120"/>
      <c r="Q78" s="120" t="s">
        <v>330</v>
      </c>
    </row>
    <row r="79" spans="1:21" ht="25.5" hidden="1" x14ac:dyDescent="0.2">
      <c r="A79" s="136">
        <v>41444</v>
      </c>
      <c r="B79" s="131" t="s">
        <v>667</v>
      </c>
      <c r="C79" s="131" t="s">
        <v>640</v>
      </c>
      <c r="D79" s="131" t="s">
        <v>668</v>
      </c>
      <c r="E79" s="131"/>
      <c r="F79" s="131"/>
      <c r="G79" s="131"/>
      <c r="H79" s="131" t="s">
        <v>669</v>
      </c>
      <c r="I79" s="131" t="s">
        <v>670</v>
      </c>
      <c r="J79" s="131" t="s">
        <v>671</v>
      </c>
      <c r="K79" s="131" t="s">
        <v>589</v>
      </c>
      <c r="L79" s="131" t="s">
        <v>441</v>
      </c>
      <c r="M79" s="131" t="s">
        <v>53</v>
      </c>
      <c r="N79" s="131"/>
      <c r="O79" s="131"/>
      <c r="P79" s="131"/>
      <c r="Q79" s="131"/>
      <c r="R79" s="132"/>
      <c r="S79" s="132"/>
      <c r="T79" s="132"/>
      <c r="U79" s="132"/>
    </row>
    <row r="80" spans="1:21" ht="38.25" hidden="1" x14ac:dyDescent="0.2">
      <c r="A80" s="139">
        <v>41466.522199074097</v>
      </c>
      <c r="B80" s="134" t="s">
        <v>672</v>
      </c>
      <c r="C80" s="134" t="s">
        <v>673</v>
      </c>
      <c r="D80" s="134" t="s">
        <v>674</v>
      </c>
      <c r="E80" s="135"/>
      <c r="F80" s="135"/>
      <c r="G80" s="135"/>
      <c r="H80" s="134" t="s">
        <v>675</v>
      </c>
      <c r="I80" s="134" t="s">
        <v>676</v>
      </c>
      <c r="J80" s="134" t="s">
        <v>339</v>
      </c>
      <c r="K80" s="134">
        <v>15</v>
      </c>
      <c r="L80" s="134" t="s">
        <v>360</v>
      </c>
      <c r="M80" s="134" t="s">
        <v>677</v>
      </c>
      <c r="N80" s="135"/>
      <c r="O80" s="135"/>
      <c r="P80" s="134"/>
      <c r="Q80" s="134" t="s">
        <v>330</v>
      </c>
      <c r="R80" s="135"/>
      <c r="S80" s="135"/>
      <c r="T80" s="135"/>
      <c r="U80" s="135"/>
    </row>
    <row r="81" spans="1:17" ht="12.75" hidden="1" customHeight="1" x14ac:dyDescent="0.2">
      <c r="A81" s="124">
        <v>41466</v>
      </c>
      <c r="B81" s="120" t="s">
        <v>678</v>
      </c>
      <c r="C81" s="120" t="s">
        <v>679</v>
      </c>
      <c r="D81" s="120" t="s">
        <v>680</v>
      </c>
      <c r="E81" s="120"/>
      <c r="F81" s="120"/>
      <c r="G81" s="120"/>
      <c r="H81" s="120" t="s">
        <v>681</v>
      </c>
      <c r="I81" s="120" t="s">
        <v>682</v>
      </c>
      <c r="J81" s="120" t="s">
        <v>423</v>
      </c>
      <c r="K81" s="120">
        <v>19</v>
      </c>
      <c r="L81" s="120" t="s">
        <v>441</v>
      </c>
      <c r="M81" s="120">
        <v>130710</v>
      </c>
      <c r="N81" s="120"/>
      <c r="O81" s="120"/>
      <c r="P81" s="120"/>
      <c r="Q81" s="120"/>
    </row>
    <row r="82" spans="1:17" ht="12.75" hidden="1" customHeight="1" x14ac:dyDescent="0.2">
      <c r="A82" s="119">
        <v>41470.4381712963</v>
      </c>
      <c r="B82" s="120" t="s">
        <v>683</v>
      </c>
      <c r="C82" s="120" t="s">
        <v>488</v>
      </c>
      <c r="D82" s="120" t="s">
        <v>684</v>
      </c>
      <c r="H82" s="120" t="s">
        <v>490</v>
      </c>
      <c r="I82" s="120">
        <v>4016625639</v>
      </c>
      <c r="J82" s="120" t="s">
        <v>492</v>
      </c>
      <c r="K82" s="120" t="s">
        <v>493</v>
      </c>
      <c r="L82" s="120" t="s">
        <v>215</v>
      </c>
      <c r="M82" s="120" t="s">
        <v>494</v>
      </c>
      <c r="P82" s="120"/>
      <c r="Q82" s="120" t="s">
        <v>330</v>
      </c>
    </row>
    <row r="83" spans="1:17" ht="12.75" hidden="1" customHeight="1" x14ac:dyDescent="0.2">
      <c r="A83" s="119">
        <v>41470.573923611097</v>
      </c>
      <c r="B83" s="120" t="s">
        <v>685</v>
      </c>
      <c r="C83" s="120" t="s">
        <v>686</v>
      </c>
      <c r="D83" s="120" t="s">
        <v>687</v>
      </c>
      <c r="H83" s="120" t="s">
        <v>688</v>
      </c>
      <c r="I83" s="120" t="s">
        <v>689</v>
      </c>
      <c r="J83" s="120" t="s">
        <v>492</v>
      </c>
      <c r="K83" s="120">
        <v>138</v>
      </c>
      <c r="L83" s="120" t="s">
        <v>328</v>
      </c>
      <c r="M83" s="120" t="s">
        <v>690</v>
      </c>
      <c r="P83" s="120"/>
      <c r="Q83" s="120" t="s">
        <v>330</v>
      </c>
    </row>
    <row r="84" spans="1:17" ht="12.75" hidden="1" customHeight="1" x14ac:dyDescent="0.2">
      <c r="A84" s="119">
        <v>41470.780729166698</v>
      </c>
      <c r="B84" s="120" t="s">
        <v>691</v>
      </c>
      <c r="C84" s="120" t="s">
        <v>686</v>
      </c>
      <c r="D84" s="120" t="s">
        <v>687</v>
      </c>
      <c r="H84" s="120" t="s">
        <v>692</v>
      </c>
      <c r="I84" s="120" t="s">
        <v>693</v>
      </c>
      <c r="J84" s="120" t="s">
        <v>492</v>
      </c>
      <c r="K84" s="120">
        <v>138</v>
      </c>
      <c r="L84" s="120" t="s">
        <v>328</v>
      </c>
      <c r="M84" s="120" t="s">
        <v>690</v>
      </c>
      <c r="P84" s="120"/>
      <c r="Q84" s="120" t="s">
        <v>330</v>
      </c>
    </row>
    <row r="85" spans="1:17" ht="12.75" hidden="1" customHeight="1" x14ac:dyDescent="0.2">
      <c r="A85" s="119">
        <v>41471.697962963</v>
      </c>
      <c r="B85" s="120" t="s">
        <v>361</v>
      </c>
      <c r="C85" s="120" t="s">
        <v>260</v>
      </c>
      <c r="D85" s="120" t="s">
        <v>694</v>
      </c>
      <c r="H85" s="120" t="s">
        <v>695</v>
      </c>
      <c r="I85" s="120" t="s">
        <v>696</v>
      </c>
      <c r="J85" s="120" t="s">
        <v>339</v>
      </c>
      <c r="K85" s="120" t="s">
        <v>697</v>
      </c>
      <c r="L85" s="120" t="s">
        <v>215</v>
      </c>
      <c r="M85" s="120">
        <v>3431</v>
      </c>
      <c r="P85" s="120"/>
      <c r="Q85" s="120" t="s">
        <v>330</v>
      </c>
    </row>
    <row r="86" spans="1:17" ht="12.75" hidden="1" customHeight="1" x14ac:dyDescent="0.2">
      <c r="A86" s="119">
        <v>41471.698761574102</v>
      </c>
      <c r="B86" s="120" t="s">
        <v>379</v>
      </c>
      <c r="C86" s="120" t="s">
        <v>260</v>
      </c>
      <c r="D86" s="120" t="s">
        <v>694</v>
      </c>
      <c r="H86" s="120" t="s">
        <v>698</v>
      </c>
      <c r="I86" s="120" t="s">
        <v>699</v>
      </c>
      <c r="J86" s="120" t="s">
        <v>339</v>
      </c>
      <c r="K86" s="120" t="s">
        <v>697</v>
      </c>
      <c r="L86" s="120" t="s">
        <v>360</v>
      </c>
      <c r="M86" s="120">
        <v>3431</v>
      </c>
      <c r="P86" s="120"/>
      <c r="Q86" s="120" t="s">
        <v>330</v>
      </c>
    </row>
    <row r="87" spans="1:17" ht="12.75" hidden="1" customHeight="1" x14ac:dyDescent="0.2">
      <c r="A87" s="124">
        <v>41472</v>
      </c>
      <c r="B87" s="120" t="s">
        <v>700</v>
      </c>
      <c r="C87" s="120" t="s">
        <v>701</v>
      </c>
      <c r="D87" s="120" t="s">
        <v>702</v>
      </c>
      <c r="E87" s="120"/>
      <c r="F87" s="120"/>
      <c r="G87" s="120"/>
      <c r="H87" s="120" t="s">
        <v>703</v>
      </c>
      <c r="I87" s="120" t="s">
        <v>704</v>
      </c>
      <c r="J87" s="120" t="s">
        <v>352</v>
      </c>
      <c r="K87" s="120">
        <v>7</v>
      </c>
      <c r="L87" s="120" t="s">
        <v>441</v>
      </c>
      <c r="M87" s="120"/>
      <c r="N87" s="120"/>
      <c r="O87" s="120"/>
      <c r="P87" s="120"/>
      <c r="Q87" s="120"/>
    </row>
    <row r="88" spans="1:17" ht="12.75" hidden="1" customHeight="1" x14ac:dyDescent="0.2">
      <c r="A88" s="119">
        <v>41475.766608796301</v>
      </c>
      <c r="B88" s="120" t="s">
        <v>705</v>
      </c>
      <c r="C88" s="120" t="s">
        <v>706</v>
      </c>
      <c r="D88" s="120" t="s">
        <v>707</v>
      </c>
      <c r="H88" s="120" t="s">
        <v>708</v>
      </c>
      <c r="I88" s="120" t="s">
        <v>709</v>
      </c>
      <c r="J88" s="120" t="s">
        <v>492</v>
      </c>
      <c r="K88" s="120" t="s">
        <v>710</v>
      </c>
      <c r="L88" s="120" t="s">
        <v>360</v>
      </c>
      <c r="M88" s="120" t="s">
        <v>711</v>
      </c>
      <c r="P88" s="120"/>
      <c r="Q88" s="120" t="s">
        <v>330</v>
      </c>
    </row>
    <row r="89" spans="1:17" ht="12.75" hidden="1" customHeight="1" x14ac:dyDescent="0.2">
      <c r="A89" s="119">
        <v>41479.393946759301</v>
      </c>
      <c r="B89" s="120" t="s">
        <v>712</v>
      </c>
      <c r="C89" s="120" t="s">
        <v>713</v>
      </c>
      <c r="D89" s="120" t="s">
        <v>714</v>
      </c>
      <c r="H89" s="120" t="s">
        <v>715</v>
      </c>
      <c r="I89" s="120">
        <v>4017144166</v>
      </c>
      <c r="J89" s="120" t="s">
        <v>492</v>
      </c>
      <c r="K89" s="120" t="s">
        <v>716</v>
      </c>
      <c r="L89" s="120" t="s">
        <v>360</v>
      </c>
      <c r="M89" s="120">
        <v>3326</v>
      </c>
      <c r="P89" s="120"/>
      <c r="Q89" s="120" t="s">
        <v>330</v>
      </c>
    </row>
    <row r="90" spans="1:17" ht="12.75" hidden="1" customHeight="1" x14ac:dyDescent="0.2">
      <c r="A90" s="119">
        <v>41479.4139236111</v>
      </c>
      <c r="B90" s="120" t="s">
        <v>717</v>
      </c>
      <c r="C90" s="120" t="s">
        <v>718</v>
      </c>
      <c r="D90" s="120" t="s">
        <v>719</v>
      </c>
      <c r="H90" s="120" t="s">
        <v>720</v>
      </c>
      <c r="I90" s="120">
        <v>4019243247</v>
      </c>
      <c r="J90" s="120" t="s">
        <v>492</v>
      </c>
      <c r="K90" s="120" t="s">
        <v>721</v>
      </c>
      <c r="L90" s="120" t="s">
        <v>328</v>
      </c>
      <c r="M90" s="120" t="s">
        <v>722</v>
      </c>
      <c r="P90" s="120"/>
      <c r="Q90" s="120" t="s">
        <v>330</v>
      </c>
    </row>
    <row r="91" spans="1:17" ht="12.75" hidden="1" customHeight="1" x14ac:dyDescent="0.2">
      <c r="A91" s="119">
        <v>41479.629895833299</v>
      </c>
      <c r="B91" s="120" t="s">
        <v>723</v>
      </c>
      <c r="C91" s="120" t="s">
        <v>724</v>
      </c>
      <c r="D91" s="120" t="s">
        <v>725</v>
      </c>
      <c r="H91" s="120" t="s">
        <v>726</v>
      </c>
      <c r="I91" s="120" t="s">
        <v>727</v>
      </c>
      <c r="J91" s="120" t="s">
        <v>728</v>
      </c>
      <c r="K91" s="120" t="s">
        <v>716</v>
      </c>
      <c r="L91" s="120" t="s">
        <v>360</v>
      </c>
      <c r="M91" s="120" t="s">
        <v>690</v>
      </c>
      <c r="P91" s="120"/>
      <c r="Q91" s="120" t="s">
        <v>330</v>
      </c>
    </row>
    <row r="92" spans="1:17" ht="12.75" hidden="1" customHeight="1" x14ac:dyDescent="0.2">
      <c r="A92" s="119">
        <v>41480.409155092602</v>
      </c>
      <c r="B92" s="120" t="s">
        <v>729</v>
      </c>
      <c r="C92" s="120" t="s">
        <v>730</v>
      </c>
      <c r="D92" s="120" t="s">
        <v>731</v>
      </c>
      <c r="H92" s="120" t="s">
        <v>732</v>
      </c>
      <c r="I92" s="120" t="s">
        <v>733</v>
      </c>
      <c r="J92" s="120" t="s">
        <v>511</v>
      </c>
      <c r="K92" s="120">
        <v>245</v>
      </c>
      <c r="L92" s="120" t="s">
        <v>328</v>
      </c>
      <c r="M92" s="120" t="s">
        <v>734</v>
      </c>
      <c r="P92" s="120"/>
      <c r="Q92" s="120" t="s">
        <v>330</v>
      </c>
    </row>
    <row r="93" spans="1:17" ht="12.75" hidden="1" customHeight="1" x14ac:dyDescent="0.2">
      <c r="A93" s="119">
        <v>41480.414895833303</v>
      </c>
      <c r="B93" s="120" t="s">
        <v>389</v>
      </c>
      <c r="C93" s="120" t="s">
        <v>735</v>
      </c>
      <c r="D93" s="120" t="s">
        <v>736</v>
      </c>
      <c r="H93" s="120" t="s">
        <v>737</v>
      </c>
      <c r="I93" s="120" t="s">
        <v>738</v>
      </c>
      <c r="J93" s="120" t="s">
        <v>728</v>
      </c>
      <c r="K93" s="120" t="s">
        <v>739</v>
      </c>
      <c r="L93" s="120" t="s">
        <v>360</v>
      </c>
      <c r="M93" s="120" t="s">
        <v>740</v>
      </c>
      <c r="P93" s="120"/>
      <c r="Q93" s="120" t="s">
        <v>330</v>
      </c>
    </row>
    <row r="94" spans="1:17" ht="12.75" hidden="1" customHeight="1" x14ac:dyDescent="0.2">
      <c r="A94" s="119">
        <v>41480.446851851899</v>
      </c>
      <c r="B94" s="120" t="s">
        <v>482</v>
      </c>
      <c r="C94" s="120" t="s">
        <v>741</v>
      </c>
      <c r="D94" s="120" t="s">
        <v>742</v>
      </c>
      <c r="H94" s="120" t="s">
        <v>743</v>
      </c>
      <c r="I94" s="120">
        <v>4018080215</v>
      </c>
      <c r="J94" s="120" t="s">
        <v>492</v>
      </c>
      <c r="K94" s="120" t="s">
        <v>744</v>
      </c>
      <c r="L94" s="120" t="s">
        <v>360</v>
      </c>
      <c r="M94" s="120" t="s">
        <v>53</v>
      </c>
      <c r="P94" s="120" t="s">
        <v>745</v>
      </c>
      <c r="Q94" s="120" t="s">
        <v>330</v>
      </c>
    </row>
    <row r="95" spans="1:17" ht="12.75" hidden="1" customHeight="1" x14ac:dyDescent="0.2">
      <c r="A95" s="119">
        <v>41480.446875000001</v>
      </c>
      <c r="B95" s="120" t="s">
        <v>482</v>
      </c>
      <c r="C95" s="120" t="s">
        <v>741</v>
      </c>
      <c r="D95" s="120" t="s">
        <v>742</v>
      </c>
      <c r="H95" s="120" t="s">
        <v>743</v>
      </c>
      <c r="I95" s="120">
        <v>4018080215</v>
      </c>
      <c r="J95" s="120" t="s">
        <v>492</v>
      </c>
      <c r="K95" s="120" t="s">
        <v>744</v>
      </c>
      <c r="L95" s="120" t="s">
        <v>360</v>
      </c>
      <c r="M95" s="120" t="s">
        <v>53</v>
      </c>
      <c r="P95" s="120" t="s">
        <v>745</v>
      </c>
      <c r="Q95" s="120" t="s">
        <v>330</v>
      </c>
    </row>
    <row r="96" spans="1:17" ht="12.75" hidden="1" customHeight="1" x14ac:dyDescent="0.2">
      <c r="A96" s="119">
        <v>41480.448344907403</v>
      </c>
      <c r="B96" s="120" t="s">
        <v>482</v>
      </c>
      <c r="C96" s="120" t="s">
        <v>741</v>
      </c>
      <c r="D96" s="120" t="s">
        <v>746</v>
      </c>
      <c r="H96" s="120" t="s">
        <v>747</v>
      </c>
      <c r="I96" s="120">
        <v>4018080215</v>
      </c>
      <c r="J96" s="120" t="s">
        <v>492</v>
      </c>
      <c r="K96" s="120" t="s">
        <v>748</v>
      </c>
      <c r="L96" s="120" t="s">
        <v>360</v>
      </c>
      <c r="M96" s="120" t="s">
        <v>749</v>
      </c>
      <c r="P96" s="120" t="s">
        <v>750</v>
      </c>
      <c r="Q96" s="120" t="s">
        <v>330</v>
      </c>
    </row>
    <row r="97" spans="1:17" ht="12.75" hidden="1" customHeight="1" x14ac:dyDescent="0.2">
      <c r="A97" s="119">
        <v>41480.4555092593</v>
      </c>
      <c r="B97" s="120" t="s">
        <v>751</v>
      </c>
      <c r="C97" s="120" t="s">
        <v>752</v>
      </c>
      <c r="D97" s="120" t="s">
        <v>753</v>
      </c>
      <c r="H97" s="120" t="s">
        <v>754</v>
      </c>
      <c r="I97" s="120" t="s">
        <v>755</v>
      </c>
      <c r="J97" s="120" t="s">
        <v>756</v>
      </c>
      <c r="K97" s="120"/>
      <c r="L97" s="120" t="s">
        <v>360</v>
      </c>
      <c r="M97" s="120" t="s">
        <v>740</v>
      </c>
      <c r="P97" s="120" t="s">
        <v>757</v>
      </c>
      <c r="Q97" s="120" t="s">
        <v>330</v>
      </c>
    </row>
    <row r="98" spans="1:17" ht="12.75" hidden="1" customHeight="1" x14ac:dyDescent="0.2">
      <c r="A98" s="119">
        <v>41480.569537037001</v>
      </c>
      <c r="B98" s="120" t="s">
        <v>634</v>
      </c>
      <c r="C98" s="120" t="s">
        <v>758</v>
      </c>
      <c r="D98" s="120" t="s">
        <v>759</v>
      </c>
      <c r="H98" s="120" t="s">
        <v>760</v>
      </c>
      <c r="I98" s="120" t="s">
        <v>761</v>
      </c>
      <c r="J98" s="120" t="s">
        <v>511</v>
      </c>
      <c r="K98" s="120">
        <v>121</v>
      </c>
      <c r="L98" s="120" t="s">
        <v>215</v>
      </c>
      <c r="M98" s="120">
        <v>0</v>
      </c>
      <c r="P98" s="120"/>
      <c r="Q98" s="120" t="s">
        <v>330</v>
      </c>
    </row>
    <row r="99" spans="1:17" ht="12.75" hidden="1" customHeight="1" x14ac:dyDescent="0.2">
      <c r="A99" s="119">
        <v>41480.573969907397</v>
      </c>
      <c r="B99" s="120" t="s">
        <v>762</v>
      </c>
      <c r="C99" s="120" t="s">
        <v>763</v>
      </c>
      <c r="D99" s="120" t="s">
        <v>764</v>
      </c>
      <c r="H99" s="120" t="s">
        <v>765</v>
      </c>
      <c r="I99" s="120">
        <v>4016629155</v>
      </c>
      <c r="J99" s="120" t="s">
        <v>511</v>
      </c>
      <c r="K99" s="120" t="s">
        <v>766</v>
      </c>
      <c r="L99" s="120" t="s">
        <v>360</v>
      </c>
      <c r="M99" s="120" t="s">
        <v>656</v>
      </c>
      <c r="P99" s="120"/>
      <c r="Q99" s="120" t="s">
        <v>330</v>
      </c>
    </row>
    <row r="100" spans="1:17" ht="12.75" hidden="1" customHeight="1" x14ac:dyDescent="0.2">
      <c r="A100" s="119">
        <v>41480.762407407397</v>
      </c>
      <c r="B100" s="120" t="s">
        <v>767</v>
      </c>
      <c r="C100" s="120" t="s">
        <v>768</v>
      </c>
      <c r="D100" s="120" t="s">
        <v>769</v>
      </c>
      <c r="H100" s="120" t="s">
        <v>770</v>
      </c>
      <c r="I100" s="120" t="s">
        <v>771</v>
      </c>
      <c r="J100" s="120" t="s">
        <v>492</v>
      </c>
      <c r="K100" s="120" t="s">
        <v>772</v>
      </c>
      <c r="L100" s="120" t="s">
        <v>360</v>
      </c>
      <c r="M100" s="120">
        <v>0</v>
      </c>
      <c r="P100" s="120" t="s">
        <v>773</v>
      </c>
      <c r="Q100" s="120" t="s">
        <v>330</v>
      </c>
    </row>
    <row r="101" spans="1:17" ht="12.75" hidden="1" customHeight="1" x14ac:dyDescent="0.2">
      <c r="A101" s="119">
        <v>41480.880416666703</v>
      </c>
      <c r="B101" s="120" t="s">
        <v>482</v>
      </c>
      <c r="C101" s="120" t="s">
        <v>483</v>
      </c>
      <c r="D101" s="120" t="s">
        <v>484</v>
      </c>
      <c r="H101" s="120" t="s">
        <v>485</v>
      </c>
      <c r="I101" s="120">
        <v>401324977</v>
      </c>
      <c r="J101" s="120" t="s">
        <v>756</v>
      </c>
      <c r="K101" s="120" t="s">
        <v>774</v>
      </c>
      <c r="L101" s="120" t="s">
        <v>360</v>
      </c>
      <c r="M101" s="120" t="s">
        <v>486</v>
      </c>
      <c r="P101" s="120"/>
      <c r="Q101" s="120" t="s">
        <v>330</v>
      </c>
    </row>
    <row r="102" spans="1:17" ht="12.75" hidden="1" customHeight="1" x14ac:dyDescent="0.2">
      <c r="A102" s="119">
        <v>41480.881215277797</v>
      </c>
      <c r="B102" s="120" t="s">
        <v>775</v>
      </c>
      <c r="C102" s="120" t="s">
        <v>483</v>
      </c>
      <c r="D102" s="120" t="s">
        <v>484</v>
      </c>
      <c r="H102" s="120" t="s">
        <v>463</v>
      </c>
      <c r="I102" s="120">
        <v>4013249755</v>
      </c>
      <c r="J102" s="120" t="s">
        <v>492</v>
      </c>
      <c r="K102" s="120" t="s">
        <v>774</v>
      </c>
      <c r="L102" s="120" t="s">
        <v>360</v>
      </c>
      <c r="M102" s="120" t="s">
        <v>486</v>
      </c>
      <c r="P102" s="120"/>
      <c r="Q102" s="120" t="s">
        <v>330</v>
      </c>
    </row>
    <row r="103" spans="1:17" ht="12.75" hidden="1" customHeight="1" x14ac:dyDescent="0.2">
      <c r="A103" s="119">
        <v>41480.973368055602</v>
      </c>
      <c r="B103" s="120" t="s">
        <v>776</v>
      </c>
      <c r="C103" s="120" t="s">
        <v>768</v>
      </c>
      <c r="D103" s="120" t="s">
        <v>777</v>
      </c>
      <c r="H103" s="120" t="s">
        <v>778</v>
      </c>
      <c r="I103" s="120" t="s">
        <v>779</v>
      </c>
      <c r="J103" s="120" t="s">
        <v>492</v>
      </c>
      <c r="K103" s="120">
        <v>121</v>
      </c>
      <c r="L103" s="120" t="s">
        <v>360</v>
      </c>
      <c r="M103" s="120">
        <v>0</v>
      </c>
      <c r="P103" s="120"/>
      <c r="Q103" s="120" t="s">
        <v>330</v>
      </c>
    </row>
    <row r="104" spans="1:17" ht="12.75" hidden="1" customHeight="1" x14ac:dyDescent="0.2">
      <c r="A104" s="119">
        <v>41481.512731481504</v>
      </c>
      <c r="B104" s="120" t="s">
        <v>361</v>
      </c>
      <c r="C104" s="120" t="s">
        <v>780</v>
      </c>
      <c r="D104" s="120" t="s">
        <v>781</v>
      </c>
      <c r="H104" s="120" t="s">
        <v>782</v>
      </c>
      <c r="I104" s="120" t="s">
        <v>783</v>
      </c>
      <c r="J104" s="120" t="s">
        <v>511</v>
      </c>
      <c r="K104" s="120" t="s">
        <v>784</v>
      </c>
      <c r="L104" s="120" t="s">
        <v>328</v>
      </c>
      <c r="M104" s="120" t="s">
        <v>740</v>
      </c>
      <c r="P104" s="120"/>
      <c r="Q104" s="120" t="s">
        <v>330</v>
      </c>
    </row>
    <row r="105" spans="1:17" ht="12.75" hidden="1" customHeight="1" x14ac:dyDescent="0.2">
      <c r="A105" s="119">
        <v>41481.534618055601</v>
      </c>
      <c r="B105" s="120" t="s">
        <v>366</v>
      </c>
      <c r="C105" s="120" t="s">
        <v>785</v>
      </c>
      <c r="D105" s="120" t="s">
        <v>786</v>
      </c>
      <c r="H105" s="120" t="s">
        <v>787</v>
      </c>
      <c r="I105" s="120" t="s">
        <v>788</v>
      </c>
      <c r="J105" s="120" t="s">
        <v>492</v>
      </c>
      <c r="K105" s="120" t="s">
        <v>789</v>
      </c>
      <c r="L105" s="120" t="s">
        <v>360</v>
      </c>
      <c r="M105" s="120" t="s">
        <v>790</v>
      </c>
      <c r="P105" s="120"/>
      <c r="Q105" s="120" t="s">
        <v>330</v>
      </c>
    </row>
    <row r="106" spans="1:17" ht="12.75" hidden="1" customHeight="1" x14ac:dyDescent="0.2">
      <c r="A106" s="119">
        <v>41481.536469907398</v>
      </c>
      <c r="B106" s="120" t="s">
        <v>791</v>
      </c>
      <c r="C106" s="120" t="s">
        <v>792</v>
      </c>
      <c r="D106" s="120" t="s">
        <v>786</v>
      </c>
      <c r="H106" s="120" t="s">
        <v>793</v>
      </c>
      <c r="I106" s="120" t="s">
        <v>788</v>
      </c>
      <c r="J106" s="120" t="s">
        <v>511</v>
      </c>
      <c r="K106" s="120" t="s">
        <v>789</v>
      </c>
      <c r="L106" s="120" t="s">
        <v>360</v>
      </c>
      <c r="M106" s="120" t="s">
        <v>794</v>
      </c>
      <c r="P106" s="120"/>
      <c r="Q106" s="120" t="s">
        <v>330</v>
      </c>
    </row>
    <row r="107" spans="1:17" ht="12.75" hidden="1" customHeight="1" x14ac:dyDescent="0.2">
      <c r="A107" s="119">
        <v>41481.694212962997</v>
      </c>
      <c r="B107" s="120" t="s">
        <v>795</v>
      </c>
      <c r="C107" s="120" t="s">
        <v>796</v>
      </c>
      <c r="D107" s="120" t="s">
        <v>797</v>
      </c>
      <c r="H107" s="120" t="s">
        <v>798</v>
      </c>
      <c r="I107" s="120">
        <v>14012669103</v>
      </c>
      <c r="J107" s="120" t="s">
        <v>492</v>
      </c>
      <c r="K107" s="120" t="s">
        <v>493</v>
      </c>
      <c r="L107" s="120" t="s">
        <v>360</v>
      </c>
      <c r="M107" s="120" t="s">
        <v>486</v>
      </c>
      <c r="P107" s="120"/>
      <c r="Q107" s="120" t="s">
        <v>330</v>
      </c>
    </row>
    <row r="108" spans="1:17" ht="12.75" hidden="1" customHeight="1" x14ac:dyDescent="0.2">
      <c r="A108" s="119">
        <v>41481.782708333303</v>
      </c>
      <c r="B108" s="120" t="s">
        <v>799</v>
      </c>
      <c r="C108" s="120" t="s">
        <v>800</v>
      </c>
      <c r="D108" s="120" t="s">
        <v>801</v>
      </c>
      <c r="H108" s="120" t="s">
        <v>802</v>
      </c>
      <c r="I108" s="120">
        <v>6176469577</v>
      </c>
      <c r="J108" s="120" t="s">
        <v>492</v>
      </c>
      <c r="K108" s="120" t="s">
        <v>803</v>
      </c>
      <c r="L108" s="120" t="s">
        <v>360</v>
      </c>
      <c r="M108" s="120" t="s">
        <v>804</v>
      </c>
      <c r="P108" s="120"/>
      <c r="Q108" s="120" t="s">
        <v>330</v>
      </c>
    </row>
    <row r="109" spans="1:17" ht="12.75" hidden="1" customHeight="1" x14ac:dyDescent="0.2">
      <c r="A109" s="119">
        <v>41482.040717592601</v>
      </c>
      <c r="B109" s="120" t="s">
        <v>805</v>
      </c>
      <c r="C109" s="120" t="s">
        <v>806</v>
      </c>
      <c r="D109" s="120" t="s">
        <v>807</v>
      </c>
      <c r="H109" s="120" t="s">
        <v>808</v>
      </c>
      <c r="I109" s="120">
        <v>4016629095</v>
      </c>
      <c r="J109" s="120" t="s">
        <v>492</v>
      </c>
      <c r="K109" s="120" t="s">
        <v>809</v>
      </c>
      <c r="L109" s="120" t="s">
        <v>360</v>
      </c>
      <c r="M109" s="120" t="s">
        <v>810</v>
      </c>
      <c r="P109" s="120"/>
      <c r="Q109" s="120" t="s">
        <v>330</v>
      </c>
    </row>
    <row r="110" spans="1:17" ht="12.75" hidden="1" customHeight="1" x14ac:dyDescent="0.2">
      <c r="A110" s="119">
        <v>41482.382881944402</v>
      </c>
      <c r="B110" s="120" t="s">
        <v>811</v>
      </c>
      <c r="C110" s="120" t="s">
        <v>812</v>
      </c>
      <c r="D110" s="120" t="s">
        <v>813</v>
      </c>
      <c r="H110" s="120" t="s">
        <v>814</v>
      </c>
      <c r="I110" s="120">
        <v>4013405261</v>
      </c>
      <c r="J110" s="120" t="s">
        <v>492</v>
      </c>
      <c r="K110" s="120" t="s">
        <v>815</v>
      </c>
      <c r="L110" s="120" t="s">
        <v>328</v>
      </c>
      <c r="M110" s="120" t="s">
        <v>816</v>
      </c>
      <c r="P110" s="120"/>
      <c r="Q110" s="120" t="s">
        <v>330</v>
      </c>
    </row>
    <row r="111" spans="1:17" ht="12.75" hidden="1" customHeight="1" x14ac:dyDescent="0.2">
      <c r="A111" s="119">
        <v>41482.406550925902</v>
      </c>
      <c r="B111" s="120" t="s">
        <v>817</v>
      </c>
      <c r="C111" s="120" t="s">
        <v>818</v>
      </c>
      <c r="D111" s="120" t="s">
        <v>819</v>
      </c>
      <c r="H111" s="120" t="s">
        <v>820</v>
      </c>
      <c r="I111" s="120" t="s">
        <v>821</v>
      </c>
      <c r="J111" s="120" t="s">
        <v>492</v>
      </c>
      <c r="K111" s="120">
        <v>17</v>
      </c>
      <c r="L111" s="120" t="s">
        <v>215</v>
      </c>
      <c r="M111" s="120" t="s">
        <v>822</v>
      </c>
      <c r="P111" s="120"/>
      <c r="Q111" s="120" t="s">
        <v>330</v>
      </c>
    </row>
    <row r="112" spans="1:17" ht="12.75" hidden="1" customHeight="1" x14ac:dyDescent="0.2">
      <c r="A112" s="119">
        <v>41482.411562499998</v>
      </c>
      <c r="B112" s="120" t="s">
        <v>823</v>
      </c>
      <c r="C112" s="120" t="s">
        <v>824</v>
      </c>
      <c r="D112" s="120" t="s">
        <v>825</v>
      </c>
      <c r="H112" s="120" t="s">
        <v>826</v>
      </c>
      <c r="I112" s="120" t="s">
        <v>827</v>
      </c>
      <c r="J112" s="120" t="s">
        <v>492</v>
      </c>
      <c r="K112" s="120">
        <v>17</v>
      </c>
      <c r="L112" s="120" t="s">
        <v>360</v>
      </c>
      <c r="M112" s="120" t="s">
        <v>690</v>
      </c>
      <c r="P112" s="120"/>
      <c r="Q112" s="120" t="s">
        <v>330</v>
      </c>
    </row>
    <row r="113" spans="1:21" ht="25.5" hidden="1" x14ac:dyDescent="0.2">
      <c r="A113" s="140">
        <v>41482.412604166697</v>
      </c>
      <c r="B113" s="137" t="s">
        <v>424</v>
      </c>
      <c r="C113" s="137" t="s">
        <v>828</v>
      </c>
      <c r="D113" s="137" t="s">
        <v>829</v>
      </c>
      <c r="E113" s="11"/>
      <c r="F113" s="11"/>
      <c r="G113" s="11"/>
      <c r="H113" s="137" t="s">
        <v>830</v>
      </c>
      <c r="I113" s="137" t="s">
        <v>831</v>
      </c>
      <c r="J113" s="137" t="s">
        <v>492</v>
      </c>
      <c r="K113" s="137">
        <v>17</v>
      </c>
      <c r="L113" s="137" t="s">
        <v>360</v>
      </c>
      <c r="M113" s="137" t="s">
        <v>832</v>
      </c>
      <c r="N113" s="11"/>
      <c r="O113" s="11"/>
      <c r="P113" s="137"/>
      <c r="Q113" s="137" t="s">
        <v>330</v>
      </c>
      <c r="R113" s="11"/>
      <c r="S113" s="11"/>
      <c r="T113" s="11"/>
      <c r="U113" s="11"/>
    </row>
    <row r="114" spans="1:21" ht="25.5" hidden="1" x14ac:dyDescent="0.2">
      <c r="A114" s="141">
        <v>41493</v>
      </c>
      <c r="B114" s="138" t="s">
        <v>400</v>
      </c>
      <c r="C114" s="138" t="s">
        <v>833</v>
      </c>
      <c r="D114" s="138" t="s">
        <v>834</v>
      </c>
      <c r="E114" s="138"/>
      <c r="F114" s="138"/>
      <c r="G114" s="138"/>
      <c r="H114" s="138" t="s">
        <v>835</v>
      </c>
      <c r="I114" s="138" t="s">
        <v>836</v>
      </c>
      <c r="J114" s="138" t="s">
        <v>414</v>
      </c>
      <c r="K114" s="138">
        <v>5</v>
      </c>
      <c r="L114" s="138" t="s">
        <v>441</v>
      </c>
      <c r="M114" s="138"/>
      <c r="N114" s="138"/>
      <c r="O114" s="138"/>
      <c r="P114" s="138"/>
      <c r="Q114" s="138"/>
      <c r="R114" s="95"/>
      <c r="S114" s="95"/>
      <c r="T114" s="95"/>
      <c r="U114" s="95"/>
    </row>
    <row r="115" spans="1:21" ht="38.25" hidden="1" x14ac:dyDescent="0.2">
      <c r="A115" s="124">
        <v>41535</v>
      </c>
      <c r="B115" s="120" t="s">
        <v>837</v>
      </c>
      <c r="C115" s="120" t="s">
        <v>838</v>
      </c>
      <c r="D115" s="120" t="s">
        <v>839</v>
      </c>
      <c r="E115" s="120"/>
      <c r="F115" s="120"/>
      <c r="G115" s="120"/>
      <c r="H115" s="120" t="s">
        <v>840</v>
      </c>
      <c r="I115" s="120" t="s">
        <v>841</v>
      </c>
      <c r="J115" s="120" t="s">
        <v>414</v>
      </c>
      <c r="K115" s="120">
        <v>5</v>
      </c>
      <c r="L115" s="120" t="s">
        <v>441</v>
      </c>
      <c r="M115" s="120"/>
      <c r="N115" s="120"/>
      <c r="O115" s="120"/>
      <c r="P115" s="120"/>
      <c r="Q115" s="120"/>
    </row>
    <row r="116" spans="1:21" x14ac:dyDescent="0.2">
      <c r="A116" s="142">
        <v>41598</v>
      </c>
      <c r="B116" s="127"/>
      <c r="C116" s="127"/>
      <c r="D116" s="127"/>
      <c r="E116" s="127"/>
      <c r="F116" s="127"/>
      <c r="G116" s="127"/>
      <c r="H116" s="127"/>
      <c r="I116" s="127"/>
      <c r="J116" s="127"/>
      <c r="K116" s="127"/>
      <c r="L116" s="127"/>
      <c r="M116" s="127"/>
      <c r="N116" s="127"/>
      <c r="O116" s="127"/>
      <c r="P116" s="127"/>
      <c r="Q116" s="127"/>
      <c r="R116" s="127"/>
      <c r="S116" s="127"/>
      <c r="T116" s="127"/>
      <c r="U116" s="127"/>
    </row>
    <row r="117" spans="1:21" x14ac:dyDescent="0.2">
      <c r="A117" s="119">
        <v>41598.565775463001</v>
      </c>
      <c r="B117" s="120" t="s">
        <v>322</v>
      </c>
      <c r="C117" s="120" t="s">
        <v>13</v>
      </c>
      <c r="D117" s="120"/>
      <c r="H117" s="120" t="s">
        <v>331</v>
      </c>
      <c r="I117" s="120" t="s">
        <v>842</v>
      </c>
      <c r="J117" s="120" t="s">
        <v>548</v>
      </c>
      <c r="K117" s="120" t="s">
        <v>327</v>
      </c>
      <c r="L117" s="120" t="s">
        <v>215</v>
      </c>
      <c r="M117" s="120">
        <v>2542</v>
      </c>
      <c r="P117" s="120" t="s">
        <v>843</v>
      </c>
      <c r="Q117" s="120" t="s">
        <v>330</v>
      </c>
    </row>
    <row r="118" spans="1:21" ht="12.75" customHeight="1" x14ac:dyDescent="0.2">
      <c r="A118" s="184">
        <v>41668.428171296298</v>
      </c>
      <c r="B118" t="s">
        <v>347</v>
      </c>
      <c r="C118" t="s">
        <v>348</v>
      </c>
      <c r="D118" t="s">
        <v>888</v>
      </c>
      <c r="E118" t="s">
        <v>350</v>
      </c>
      <c r="F118" t="s">
        <v>351</v>
      </c>
      <c r="G118" t="s">
        <v>352</v>
      </c>
      <c r="I118" t="s">
        <v>215</v>
      </c>
      <c r="J118">
        <v>3555</v>
      </c>
    </row>
    <row r="119" spans="1:21" ht="12.75" customHeight="1" x14ac:dyDescent="0.2">
      <c r="A119" s="184">
        <v>41668.486909722225</v>
      </c>
      <c r="B119" t="s">
        <v>341</v>
      </c>
      <c r="C119" t="s">
        <v>342</v>
      </c>
      <c r="D119" t="s">
        <v>889</v>
      </c>
      <c r="E119" t="s">
        <v>344</v>
      </c>
      <c r="F119" t="s">
        <v>890</v>
      </c>
      <c r="G119" t="s">
        <v>891</v>
      </c>
      <c r="I119" t="s">
        <v>215</v>
      </c>
      <c r="J119">
        <v>3560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/>
  </sheetViews>
  <sheetFormatPr defaultColWidth="8.7109375" defaultRowHeight="12.75" customHeight="1" x14ac:dyDescent="0.2"/>
  <cols>
    <col min="1" max="1" width="47.140625" customWidth="1"/>
    <col min="4" max="4" width="12.28515625" customWidth="1"/>
    <col min="5" max="5" width="11" customWidth="1"/>
    <col min="6" max="6" width="14" customWidth="1"/>
    <col min="7" max="7" width="17.5703125" customWidth="1"/>
    <col min="8" max="8" width="12.140625" customWidth="1"/>
    <col min="9" max="9" width="11.7109375" customWidth="1"/>
    <col min="10" max="10" width="10.7109375" customWidth="1"/>
    <col min="11" max="11" width="12.140625" customWidth="1"/>
  </cols>
  <sheetData>
    <row r="1" spans="1:11" x14ac:dyDescent="0.2">
      <c r="A1" s="2" t="s">
        <v>227</v>
      </c>
      <c r="B1" s="29"/>
      <c r="C1" s="29"/>
      <c r="D1" s="29"/>
      <c r="E1" s="29"/>
      <c r="F1" s="29"/>
      <c r="G1" s="29"/>
      <c r="H1" s="29"/>
      <c r="I1" s="7" t="s">
        <v>228</v>
      </c>
      <c r="J1" s="29"/>
      <c r="K1" s="29"/>
    </row>
    <row r="2" spans="1:11" ht="38.25" customHeight="1" x14ac:dyDescent="0.2">
      <c r="A2" s="1" t="s">
        <v>229</v>
      </c>
      <c r="B2" s="1" t="s">
        <v>230</v>
      </c>
      <c r="C2" s="1" t="s">
        <v>231</v>
      </c>
      <c r="D2" s="1" t="s">
        <v>232</v>
      </c>
      <c r="E2" s="1" t="s">
        <v>233</v>
      </c>
      <c r="F2" s="1" t="s">
        <v>234</v>
      </c>
      <c r="G2" s="46" t="s">
        <v>235</v>
      </c>
      <c r="H2" s="46" t="s">
        <v>236</v>
      </c>
      <c r="I2" s="7" t="s">
        <v>237</v>
      </c>
      <c r="J2" s="7" t="s">
        <v>230</v>
      </c>
      <c r="K2" s="7" t="s">
        <v>238</v>
      </c>
    </row>
    <row r="3" spans="1:11" x14ac:dyDescent="0.2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1" x14ac:dyDescent="0.2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1" x14ac:dyDescent="0.2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</row>
    <row r="7" spans="1:11" x14ac:dyDescent="0.2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1" x14ac:dyDescent="0.2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x14ac:dyDescent="0.2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</row>
    <row r="10" spans="1:11" x14ac:dyDescent="0.2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</row>
    <row r="11" spans="1:11" x14ac:dyDescent="0.2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</row>
    <row r="12" spans="1:11" x14ac:dyDescent="0.2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</row>
    <row r="13" spans="1:11" x14ac:dyDescent="0.2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</row>
    <row r="14" spans="1:11" x14ac:dyDescent="0.2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</row>
    <row r="15" spans="1:11" x14ac:dyDescent="0.2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</row>
    <row r="16" spans="1:11" x14ac:dyDescent="0.2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</row>
    <row r="17" spans="1:11" x14ac:dyDescent="0.2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</row>
    <row r="18" spans="1:11" x14ac:dyDescent="0.2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</row>
    <row r="19" spans="1:11" x14ac:dyDescent="0.2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</row>
    <row r="20" spans="1:11" x14ac:dyDescent="0.2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/>
  </sheetViews>
  <sheetFormatPr defaultColWidth="8.7109375" defaultRowHeight="12.75" customHeight="1" x14ac:dyDescent="0.2"/>
  <cols>
    <col min="1" max="1" width="47.140625" customWidth="1"/>
    <col min="2" max="2" width="10.28515625" customWidth="1"/>
    <col min="3" max="3" width="5.5703125" customWidth="1"/>
    <col min="4" max="4" width="12.28515625" customWidth="1"/>
    <col min="5" max="5" width="11" customWidth="1"/>
    <col min="6" max="6" width="14" customWidth="1"/>
    <col min="7" max="7" width="13.5703125" customWidth="1"/>
    <col min="8" max="8" width="24.85546875" customWidth="1"/>
    <col min="9" max="9" width="20.140625" customWidth="1"/>
    <col min="10" max="10" width="10.28515625" customWidth="1"/>
    <col min="11" max="11" width="13.42578125" customWidth="1"/>
  </cols>
  <sheetData>
    <row r="1" spans="1:11" x14ac:dyDescent="0.2">
      <c r="A1" s="2" t="s">
        <v>227</v>
      </c>
      <c r="B1" s="29"/>
      <c r="C1" s="29"/>
      <c r="D1" s="29"/>
      <c r="E1" s="29"/>
      <c r="F1" s="29"/>
      <c r="G1" s="29"/>
      <c r="H1" s="29"/>
      <c r="I1" s="7" t="s">
        <v>228</v>
      </c>
      <c r="J1" s="29"/>
      <c r="K1" s="29"/>
    </row>
    <row r="2" spans="1:11" ht="25.5" customHeight="1" x14ac:dyDescent="0.2">
      <c r="A2" s="1" t="s">
        <v>229</v>
      </c>
      <c r="B2" s="1" t="s">
        <v>230</v>
      </c>
      <c r="C2" s="1" t="s">
        <v>231</v>
      </c>
      <c r="D2" s="1" t="s">
        <v>232</v>
      </c>
      <c r="E2" s="1" t="s">
        <v>233</v>
      </c>
      <c r="F2" s="1" t="s">
        <v>234</v>
      </c>
      <c r="G2" s="46" t="s">
        <v>239</v>
      </c>
      <c r="H2" s="46" t="s">
        <v>240</v>
      </c>
      <c r="I2" s="7" t="s">
        <v>237</v>
      </c>
      <c r="J2" s="7" t="s">
        <v>230</v>
      </c>
      <c r="K2" s="7" t="s">
        <v>238</v>
      </c>
    </row>
    <row r="3" spans="1:11" x14ac:dyDescent="0.2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1" x14ac:dyDescent="0.2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1" x14ac:dyDescent="0.2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</row>
    <row r="7" spans="1:11" x14ac:dyDescent="0.2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1" x14ac:dyDescent="0.2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x14ac:dyDescent="0.2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</row>
    <row r="10" spans="1:11" x14ac:dyDescent="0.2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</row>
    <row r="11" spans="1:11" x14ac:dyDescent="0.2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</row>
    <row r="12" spans="1:11" x14ac:dyDescent="0.2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</row>
    <row r="13" spans="1:11" x14ac:dyDescent="0.2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</row>
    <row r="14" spans="1:11" x14ac:dyDescent="0.2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</row>
    <row r="15" spans="1:11" x14ac:dyDescent="0.2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</row>
    <row r="16" spans="1:11" x14ac:dyDescent="0.2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</row>
    <row r="17" spans="1:11" x14ac:dyDescent="0.2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</row>
    <row r="18" spans="1:11" x14ac:dyDescent="0.2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</row>
    <row r="19" spans="1:11" x14ac:dyDescent="0.2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</row>
    <row r="20" spans="1:11" x14ac:dyDescent="0.2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Duty</vt:lpstr>
      <vt:lpstr>ROARS</vt:lpstr>
      <vt:lpstr>RC expenses</vt:lpstr>
      <vt:lpstr>DV-IDENTITY-0</vt:lpstr>
      <vt:lpstr>Race Kit</vt:lpstr>
      <vt:lpstr>Skippers</vt:lpstr>
      <vt:lpstr>Waivers</vt:lpstr>
      <vt:lpstr>Scoring Inquiry</vt:lpstr>
      <vt:lpstr>Declaration Form</vt:lpstr>
      <vt:lpstr>Duty!Print_Area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Chuck Kesson</dc:creator>
  <cp:lastModifiedBy>chuck</cp:lastModifiedBy>
  <cp:lastPrinted>2014-02-10T19:04:17Z</cp:lastPrinted>
  <dcterms:created xsi:type="dcterms:W3CDTF">2013-05-15T12:41:47Z</dcterms:created>
  <dcterms:modified xsi:type="dcterms:W3CDTF">2014-03-22T16:40:08Z</dcterms:modified>
</cp:coreProperties>
</file>